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365" firstSheet="4" activeTab="12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Manpower Schedule" sheetId="9" r:id="rId13"/>
    <sheet name="weigh Bridge" sheetId="39" state="hidden" r:id="rId14"/>
    <sheet name="Opex Schedule" sheetId="10" r:id="rId15"/>
    <sheet name="WC Req" sheetId="23" state="hidden" r:id="rId16"/>
    <sheet name="Ammortization" sheetId="37" r:id="rId17"/>
    <sheet name="WC Assessment" sheetId="11" r:id="rId18"/>
    <sheet name="P&amp;L" sheetId="12" r:id="rId19"/>
    <sheet name="Tax" sheetId="14" r:id="rId20"/>
    <sheet name="BS" sheetId="15" r:id="rId21"/>
    <sheet name="CF" sheetId="16" r:id="rId22"/>
    <sheet name="TL Schedule" sheetId="24" state="hidden" r:id="rId23"/>
    <sheet name="Interest" sheetId="13" state="hidden" r:id="rId24"/>
    <sheet name="ROCE and Payback" sheetId="34" r:id="rId25"/>
    <sheet name="NPV" sheetId="30" r:id="rId26"/>
    <sheet name="IRR" sheetId="29" r:id="rId27"/>
    <sheet name="Debt Equity" sheetId="33" state="hidden" r:id="rId28"/>
    <sheet name="Break Even" sheetId="32" state="hidden" r:id="rId29"/>
    <sheet name="DSCR" sheetId="31" state="hidden" r:id="rId30"/>
    <sheet name="BEP &amp; DSCR" sheetId="17" r:id="rId31"/>
    <sheet name="Sheet19" sheetId="19" state="hidden" r:id="rId32"/>
    <sheet name="Sheet6" sheetId="25" state="hidden" r:id="rId33"/>
    <sheet name="Benefit-FPO-Producer" sheetId="26" state="hidden" r:id="rId34"/>
    <sheet name="Sheet2" sheetId="27" state="hidden" r:id="rId35"/>
    <sheet name="Economic Analysis" sheetId="28" state="hidden" r:id="rId36"/>
    <sheet name="Sheet9" sheetId="35" state="hidden" r:id="rId37"/>
    <sheet name="sensitivity" sheetId="36" r:id="rId38"/>
    <sheet name="Member Data" sheetId="38" r:id="rId39"/>
  </sheets>
  <externalReferences>
    <externalReference r:id="rId40"/>
    <externalReference r:id="rId41"/>
  </externalReferences>
  <definedNames>
    <definedName name="_xlnm.Print_Area" localSheetId="0">'Capital Cost'!$A$1:$C$42</definedName>
    <definedName name="_xlnm.Print_Area" localSheetId="26">IRR!$A$1:$K$28</definedName>
    <definedName name="_xlnm.Print_Area" localSheetId="38">'Member Data'!$A$1:$K$29</definedName>
    <definedName name="_xlnm.Print_Area" localSheetId="14">'Opex Schedule'!$A$1:$L$42</definedName>
    <definedName name="_xlnm.Print_Area" localSheetId="5">'Output Schedule'!$A$1:$K$47</definedName>
    <definedName name="_xlnm.Print_Area" localSheetId="24">'ROCE and Payback'!$A$1:$K$19</definedName>
  </definedNames>
  <calcPr calcId="144525"/>
</workbook>
</file>

<file path=xl/calcChain.xml><?xml version="1.0" encoding="utf-8"?>
<calcChain xmlns="http://schemas.openxmlformats.org/spreadsheetml/2006/main">
  <c r="I13" i="4" l="1"/>
  <c r="J13" i="4" s="1"/>
  <c r="K13" i="4" s="1"/>
  <c r="H13" i="4"/>
  <c r="C12" i="10"/>
  <c r="C11" i="10"/>
  <c r="C15" i="10"/>
  <c r="C14" i="10"/>
  <c r="C37" i="20"/>
  <c r="B10" i="2" l="1"/>
  <c r="B3" i="37" s="1"/>
  <c r="G6" i="9"/>
  <c r="C9" i="10"/>
  <c r="C7" i="10"/>
  <c r="C6" i="10"/>
  <c r="B40" i="4"/>
  <c r="B5" i="4"/>
  <c r="C21" i="20"/>
  <c r="C13" i="20" s="1"/>
  <c r="B19" i="38" l="1"/>
  <c r="B11" i="38"/>
  <c r="B6" i="4" l="1"/>
  <c r="B12" i="4" s="1"/>
  <c r="C10" i="18"/>
  <c r="C38" i="20" l="1"/>
  <c r="C72" i="18" l="1"/>
  <c r="C71" i="18"/>
  <c r="C70" i="18"/>
  <c r="C69" i="18"/>
  <c r="C68" i="18"/>
  <c r="C65" i="18"/>
  <c r="C29" i="18"/>
  <c r="B29" i="18"/>
  <c r="C28" i="18"/>
  <c r="C27" i="18"/>
  <c r="C26" i="18"/>
  <c r="C25" i="18"/>
  <c r="C22" i="18"/>
  <c r="C21" i="18"/>
  <c r="C20" i="18"/>
  <c r="C19" i="18"/>
  <c r="C18" i="18"/>
  <c r="B22" i="18"/>
  <c r="B21" i="18"/>
  <c r="B20" i="18"/>
  <c r="B19" i="18"/>
  <c r="B18" i="18"/>
  <c r="C6" i="4"/>
  <c r="D6" i="4" s="1"/>
  <c r="E6" i="4" s="1"/>
  <c r="F6" i="4" s="1"/>
  <c r="G6" i="4" s="1"/>
  <c r="H6" i="4" s="1"/>
  <c r="I6" i="4" s="1"/>
  <c r="J6" i="4" s="1"/>
  <c r="K6" i="4" s="1"/>
  <c r="C40" i="4"/>
  <c r="D40" i="4" s="1"/>
  <c r="E40" i="4" s="1"/>
  <c r="F40" i="4" s="1"/>
  <c r="G40" i="4" s="1"/>
  <c r="H40" i="4" s="1"/>
  <c r="I40" i="4" s="1"/>
  <c r="J40" i="4" s="1"/>
  <c r="K40" i="4" s="1"/>
  <c r="C5" i="4"/>
  <c r="D5" i="4" s="1"/>
  <c r="E5" i="4" s="1"/>
  <c r="F5" i="4" s="1"/>
  <c r="M38" i="4"/>
  <c r="M31" i="4"/>
  <c r="C42" i="8"/>
  <c r="C21" i="8"/>
  <c r="C122" i="7"/>
  <c r="D97" i="7"/>
  <c r="E97" i="7" s="1"/>
  <c r="F97" i="7" s="1"/>
  <c r="G97" i="7" s="1"/>
  <c r="H97" i="7" s="1"/>
  <c r="I97" i="7" s="1"/>
  <c r="J97" i="7" s="1"/>
  <c r="K97" i="7" s="1"/>
  <c r="L97" i="7" s="1"/>
  <c r="L42" i="8" s="1"/>
  <c r="B86" i="7"/>
  <c r="B97" i="7" s="1"/>
  <c r="C87" i="7"/>
  <c r="D39" i="7"/>
  <c r="E39" i="7" s="1"/>
  <c r="F39" i="7" s="1"/>
  <c r="G39" i="7" s="1"/>
  <c r="H39" i="7" s="1"/>
  <c r="I39" i="7" s="1"/>
  <c r="J39" i="7" s="1"/>
  <c r="K39" i="7" s="1"/>
  <c r="L39" i="7" s="1"/>
  <c r="L21" i="8" s="1"/>
  <c r="B28" i="7"/>
  <c r="B39" i="7" s="1"/>
  <c r="B65" i="18" s="1"/>
  <c r="C29" i="7"/>
  <c r="M37" i="4"/>
  <c r="N37" i="4" s="1"/>
  <c r="M36" i="4"/>
  <c r="N36" i="4" s="1"/>
  <c r="M35" i="4"/>
  <c r="N35" i="4" s="1"/>
  <c r="M34" i="4"/>
  <c r="N34" i="4" s="1"/>
  <c r="M30" i="4"/>
  <c r="M29" i="4"/>
  <c r="M28" i="4"/>
  <c r="M27" i="4"/>
  <c r="C38" i="8"/>
  <c r="C34" i="8"/>
  <c r="C30" i="8"/>
  <c r="C26" i="8"/>
  <c r="D96" i="7"/>
  <c r="D38" i="8" s="1"/>
  <c r="D95" i="7"/>
  <c r="D34" i="8" s="1"/>
  <c r="D94" i="7"/>
  <c r="D30" i="8" s="1"/>
  <c r="D93" i="7"/>
  <c r="E93" i="7" s="1"/>
  <c r="F93" i="7" s="1"/>
  <c r="G93" i="7" s="1"/>
  <c r="H93" i="7" s="1"/>
  <c r="I93" i="7" s="1"/>
  <c r="J93" i="7" s="1"/>
  <c r="K93" i="7" s="1"/>
  <c r="L93" i="7" s="1"/>
  <c r="L26" i="8" s="1"/>
  <c r="C81" i="7"/>
  <c r="C75" i="7"/>
  <c r="C69" i="7"/>
  <c r="C63" i="7"/>
  <c r="B7" i="6"/>
  <c r="C44" i="18" s="1"/>
  <c r="B27" i="5"/>
  <c r="B15" i="5"/>
  <c r="C25" i="5"/>
  <c r="D25" i="5" s="1"/>
  <c r="E25" i="5" s="1"/>
  <c r="F25" i="5" s="1"/>
  <c r="G25" i="5" s="1"/>
  <c r="H25" i="5" s="1"/>
  <c r="I25" i="5" s="1"/>
  <c r="J25" i="5" s="1"/>
  <c r="K25" i="5" s="1"/>
  <c r="K7" i="6" s="1"/>
  <c r="L44" i="18" s="1"/>
  <c r="A37" i="4"/>
  <c r="B80" i="7" s="1"/>
  <c r="B96" i="7" s="1"/>
  <c r="A36" i="4"/>
  <c r="B27" i="18" s="1"/>
  <c r="B68" i="7"/>
  <c r="B94" i="7" s="1"/>
  <c r="B62" i="7"/>
  <c r="B93" i="7" s="1"/>
  <c r="B68" i="18" s="1"/>
  <c r="D72" i="18" l="1"/>
  <c r="B115" i="7"/>
  <c r="B7" i="4"/>
  <c r="D69" i="18"/>
  <c r="D68" i="18"/>
  <c r="G68" i="18"/>
  <c r="K68" i="18"/>
  <c r="E68" i="18"/>
  <c r="H72" i="18"/>
  <c r="L72" i="18"/>
  <c r="H68" i="18"/>
  <c r="L68" i="18"/>
  <c r="E72" i="18"/>
  <c r="I72" i="18"/>
  <c r="I68" i="18"/>
  <c r="D71" i="18"/>
  <c r="F72" i="18"/>
  <c r="J72" i="18"/>
  <c r="F68" i="18"/>
  <c r="J68" i="18"/>
  <c r="G72" i="18"/>
  <c r="K72" i="18"/>
  <c r="D70" i="18"/>
  <c r="F65" i="18"/>
  <c r="J65" i="18"/>
  <c r="G65" i="18"/>
  <c r="K65" i="18"/>
  <c r="D65" i="18"/>
  <c r="H65" i="18"/>
  <c r="L65" i="18"/>
  <c r="D21" i="8"/>
  <c r="E65" i="18"/>
  <c r="I65" i="18"/>
  <c r="E7" i="6"/>
  <c r="F44" i="18" s="1"/>
  <c r="F7" i="6"/>
  <c r="G44" i="18" s="1"/>
  <c r="J7" i="6"/>
  <c r="K44" i="18" s="1"/>
  <c r="C7" i="6"/>
  <c r="D44" i="18" s="1"/>
  <c r="G7" i="6"/>
  <c r="H44" i="18" s="1"/>
  <c r="I7" i="6"/>
  <c r="J44" i="18" s="1"/>
  <c r="B30" i="5"/>
  <c r="D7" i="6"/>
  <c r="E44" i="18" s="1"/>
  <c r="H7" i="6"/>
  <c r="I44" i="18" s="1"/>
  <c r="B72" i="18"/>
  <c r="B41" i="8"/>
  <c r="B37" i="8"/>
  <c r="B71" i="18"/>
  <c r="B28" i="18"/>
  <c r="B20" i="8"/>
  <c r="B74" i="7"/>
  <c r="B107" i="7" s="1"/>
  <c r="B29" i="8"/>
  <c r="B69" i="18"/>
  <c r="B26" i="18"/>
  <c r="B25" i="18"/>
  <c r="G5" i="4"/>
  <c r="E42" i="8"/>
  <c r="F42" i="8"/>
  <c r="I42" i="8"/>
  <c r="J42" i="8"/>
  <c r="G42" i="8"/>
  <c r="K42" i="8"/>
  <c r="D42" i="8"/>
  <c r="H42" i="8"/>
  <c r="F26" i="8"/>
  <c r="J26" i="8"/>
  <c r="G26" i="8"/>
  <c r="K26" i="8"/>
  <c r="D26" i="8"/>
  <c r="H26" i="8"/>
  <c r="E26" i="8"/>
  <c r="I26" i="8"/>
  <c r="H21" i="8"/>
  <c r="E21" i="8"/>
  <c r="F21" i="8"/>
  <c r="J21" i="8"/>
  <c r="I21" i="8"/>
  <c r="G21" i="8"/>
  <c r="K21" i="8"/>
  <c r="B57" i="7"/>
  <c r="B99" i="7"/>
  <c r="B25" i="8"/>
  <c r="E94" i="7"/>
  <c r="E96" i="7"/>
  <c r="B103" i="7"/>
  <c r="B111" i="7"/>
  <c r="E95" i="7"/>
  <c r="I10" i="20"/>
  <c r="D8" i="10"/>
  <c r="E8" i="10" s="1"/>
  <c r="F8" i="10" s="1"/>
  <c r="G8" i="10" s="1"/>
  <c r="H8" i="10" s="1"/>
  <c r="I8" i="10" s="1"/>
  <c r="J8" i="10" s="1"/>
  <c r="K8" i="10" s="1"/>
  <c r="L8" i="10" s="1"/>
  <c r="B18" i="4" l="1"/>
  <c r="B17" i="4"/>
  <c r="C37" i="10" s="1"/>
  <c r="B95" i="7"/>
  <c r="B33" i="8" s="1"/>
  <c r="C7" i="4"/>
  <c r="E38" i="8"/>
  <c r="E71" i="18"/>
  <c r="E30" i="8"/>
  <c r="E69" i="18"/>
  <c r="E34" i="8"/>
  <c r="E70" i="18"/>
  <c r="H5" i="4"/>
  <c r="F95" i="7"/>
  <c r="F96" i="7"/>
  <c r="F94" i="7"/>
  <c r="B70" i="18" l="1"/>
  <c r="D7" i="4"/>
  <c r="C34" i="10"/>
  <c r="B28" i="4"/>
  <c r="B29" i="4"/>
  <c r="B27" i="4"/>
  <c r="B30" i="4"/>
  <c r="B31" i="4"/>
  <c r="C30" i="7" s="1"/>
  <c r="F30" i="8"/>
  <c r="F69" i="18"/>
  <c r="F38" i="8"/>
  <c r="F71" i="18"/>
  <c r="F34" i="8"/>
  <c r="F70" i="18"/>
  <c r="I5" i="4"/>
  <c r="G94" i="7"/>
  <c r="G96" i="7"/>
  <c r="G95" i="7"/>
  <c r="S37" i="38"/>
  <c r="N37" i="10"/>
  <c r="O14" i="4"/>
  <c r="O15" i="4" s="1"/>
  <c r="E7" i="4" l="1"/>
  <c r="C32" i="7"/>
  <c r="C31" i="7" s="1"/>
  <c r="C20" i="8" s="1"/>
  <c r="C22" i="8" s="1"/>
  <c r="G30" i="8"/>
  <c r="G69" i="18"/>
  <c r="G38" i="8"/>
  <c r="G71" i="18"/>
  <c r="G34" i="8"/>
  <c r="G70" i="18"/>
  <c r="J5" i="4"/>
  <c r="H96" i="7"/>
  <c r="H95" i="7"/>
  <c r="H94" i="7"/>
  <c r="D29" i="7" l="1"/>
  <c r="C59" i="7"/>
  <c r="D58" i="7" s="1"/>
  <c r="F7" i="4"/>
  <c r="H38" i="8"/>
  <c r="H71" i="18"/>
  <c r="H30" i="8"/>
  <c r="H69" i="18"/>
  <c r="H34" i="8"/>
  <c r="H70" i="18"/>
  <c r="K5" i="4"/>
  <c r="I95" i="7"/>
  <c r="I96" i="7"/>
  <c r="I94" i="7"/>
  <c r="A5" i="36"/>
  <c r="A18" i="36" s="1"/>
  <c r="A4" i="36"/>
  <c r="A17" i="36" s="1"/>
  <c r="A3" i="36"/>
  <c r="A16" i="36" s="1"/>
  <c r="E7" i="2"/>
  <c r="E9" i="2"/>
  <c r="E10" i="2"/>
  <c r="E11" i="2"/>
  <c r="E12" i="2"/>
  <c r="E5" i="2"/>
  <c r="D11" i="10"/>
  <c r="E11" i="10" s="1"/>
  <c r="F11" i="10" s="1"/>
  <c r="G11" i="10" s="1"/>
  <c r="H11" i="10" s="1"/>
  <c r="I11" i="10" s="1"/>
  <c r="J11" i="10" s="1"/>
  <c r="K11" i="10" s="1"/>
  <c r="L11" i="10" s="1"/>
  <c r="N7" i="10"/>
  <c r="Q16" i="10" s="1"/>
  <c r="G7" i="4" l="1"/>
  <c r="I30" i="8"/>
  <c r="I69" i="18"/>
  <c r="I38" i="8"/>
  <c r="I71" i="18"/>
  <c r="I34" i="8"/>
  <c r="I70" i="18"/>
  <c r="J94" i="7"/>
  <c r="J96" i="7"/>
  <c r="J95" i="7"/>
  <c r="D9" i="4"/>
  <c r="D8" i="4"/>
  <c r="E8" i="4" s="1"/>
  <c r="F8" i="4" s="1"/>
  <c r="G8" i="4" s="1"/>
  <c r="H8" i="4" s="1"/>
  <c r="I8" i="4" l="1"/>
  <c r="J8" i="4" s="1"/>
  <c r="K8" i="4" s="1"/>
  <c r="C17" i="4"/>
  <c r="C18" i="4"/>
  <c r="D18" i="4"/>
  <c r="D17" i="4"/>
  <c r="E9" i="4"/>
  <c r="H7" i="4"/>
  <c r="J38" i="8"/>
  <c r="J71" i="18"/>
  <c r="J30" i="8"/>
  <c r="J69" i="18"/>
  <c r="J34" i="8"/>
  <c r="J70" i="18"/>
  <c r="K96" i="7"/>
  <c r="K95" i="7"/>
  <c r="K94" i="7"/>
  <c r="A31" i="36"/>
  <c r="A44" i="36" s="1"/>
  <c r="E17" i="4" l="1"/>
  <c r="E18" i="4"/>
  <c r="F9" i="4"/>
  <c r="C36" i="4"/>
  <c r="D76" i="7" s="1"/>
  <c r="C21" i="5"/>
  <c r="C22" i="5" s="1"/>
  <c r="C35" i="4"/>
  <c r="D70" i="7" s="1"/>
  <c r="C38" i="4"/>
  <c r="D88" i="7" s="1"/>
  <c r="D90" i="7" s="1"/>
  <c r="C34" i="4"/>
  <c r="D64" i="7" s="1"/>
  <c r="C37" i="4"/>
  <c r="D82" i="7" s="1"/>
  <c r="D84" i="7" s="1"/>
  <c r="D21" i="5"/>
  <c r="D22" i="5" s="1"/>
  <c r="D37" i="4"/>
  <c r="E82" i="7" s="1"/>
  <c r="E84" i="7" s="1"/>
  <c r="D35" i="4"/>
  <c r="E70" i="7" s="1"/>
  <c r="D36" i="4"/>
  <c r="E76" i="7" s="1"/>
  <c r="D38" i="4"/>
  <c r="E88" i="7" s="1"/>
  <c r="E90" i="7" s="1"/>
  <c r="D34" i="4"/>
  <c r="E64" i="7" s="1"/>
  <c r="C30" i="4"/>
  <c r="C27" i="4"/>
  <c r="C43" i="4"/>
  <c r="D34" i="10"/>
  <c r="C31" i="4"/>
  <c r="D30" i="7" s="1"/>
  <c r="C28" i="4"/>
  <c r="C29" i="4"/>
  <c r="D28" i="4"/>
  <c r="D30" i="4"/>
  <c r="D31" i="4"/>
  <c r="E30" i="7" s="1"/>
  <c r="E32" i="7" s="1"/>
  <c r="D27" i="4"/>
  <c r="D43" i="4"/>
  <c r="D29" i="4"/>
  <c r="E34" i="10"/>
  <c r="I7" i="4"/>
  <c r="K38" i="8"/>
  <c r="K71" i="18"/>
  <c r="K30" i="8"/>
  <c r="K69" i="18"/>
  <c r="K34" i="8"/>
  <c r="K70" i="18"/>
  <c r="L94" i="7"/>
  <c r="L96" i="7"/>
  <c r="L71" i="18" s="1"/>
  <c r="L95" i="7"/>
  <c r="Q5" i="10"/>
  <c r="E59" i="7" l="1"/>
  <c r="F58" i="7" s="1"/>
  <c r="F29" i="7"/>
  <c r="D113" i="7"/>
  <c r="E112" i="7" s="1"/>
  <c r="E81" i="7"/>
  <c r="E83" i="7" s="1"/>
  <c r="E37" i="8" s="1"/>
  <c r="E39" i="8" s="1"/>
  <c r="E43" i="4"/>
  <c r="E28" i="4"/>
  <c r="E29" i="4"/>
  <c r="E31" i="4"/>
  <c r="F30" i="7" s="1"/>
  <c r="F32" i="7" s="1"/>
  <c r="F34" i="10"/>
  <c r="E27" i="4"/>
  <c r="E30" i="4"/>
  <c r="E19" i="5"/>
  <c r="D28" i="5"/>
  <c r="E27" i="5" s="1"/>
  <c r="E38" i="4"/>
  <c r="F88" i="7" s="1"/>
  <c r="F90" i="7" s="1"/>
  <c r="E37" i="4"/>
  <c r="F82" i="7" s="1"/>
  <c r="F84" i="7" s="1"/>
  <c r="E36" i="4"/>
  <c r="F76" i="7" s="1"/>
  <c r="E21" i="5"/>
  <c r="E22" i="5" s="1"/>
  <c r="E34" i="4"/>
  <c r="F64" i="7" s="1"/>
  <c r="E35" i="4"/>
  <c r="F70" i="7" s="1"/>
  <c r="E113" i="7"/>
  <c r="F112" i="7" s="1"/>
  <c r="F81" i="7"/>
  <c r="E87" i="7"/>
  <c r="E89" i="7" s="1"/>
  <c r="E41" i="8" s="1"/>
  <c r="E43" i="8" s="1"/>
  <c r="D117" i="7"/>
  <c r="E116" i="7" s="1"/>
  <c r="G9" i="4"/>
  <c r="F17" i="4"/>
  <c r="F18" i="4"/>
  <c r="D19" i="5"/>
  <c r="D20" i="5" s="1"/>
  <c r="D6" i="6" s="1"/>
  <c r="C28" i="5"/>
  <c r="D27" i="5" s="1"/>
  <c r="E117" i="7"/>
  <c r="F116" i="7" s="1"/>
  <c r="F87" i="7"/>
  <c r="F89" i="7" s="1"/>
  <c r="F41" i="8" s="1"/>
  <c r="F43" i="8" s="1"/>
  <c r="D32" i="7"/>
  <c r="D31" i="7" s="1"/>
  <c r="D20" i="8" s="1"/>
  <c r="D22" i="8" s="1"/>
  <c r="J7" i="4"/>
  <c r="L30" i="8"/>
  <c r="L69" i="18"/>
  <c r="L34" i="8"/>
  <c r="L70" i="18"/>
  <c r="L38" i="8"/>
  <c r="D11" i="39"/>
  <c r="E11" i="39" s="1"/>
  <c r="F11" i="39" s="1"/>
  <c r="G11" i="39" s="1"/>
  <c r="H11" i="39" s="1"/>
  <c r="I11" i="39" s="1"/>
  <c r="J11" i="39" s="1"/>
  <c r="K11" i="39" s="1"/>
  <c r="L11" i="39" s="1"/>
  <c r="D9" i="39"/>
  <c r="E9" i="39" s="1"/>
  <c r="D6" i="39"/>
  <c r="E6" i="39" s="1"/>
  <c r="F6" i="39" s="1"/>
  <c r="D4" i="39"/>
  <c r="E4" i="39" s="1"/>
  <c r="F4" i="39" s="1"/>
  <c r="G4" i="39" s="1"/>
  <c r="H4" i="39" s="1"/>
  <c r="I4" i="39" s="1"/>
  <c r="J4" i="39" s="1"/>
  <c r="K4" i="39" s="1"/>
  <c r="L4" i="39" s="1"/>
  <c r="F83" i="7" l="1"/>
  <c r="F37" i="8" s="1"/>
  <c r="F39" i="8" s="1"/>
  <c r="F31" i="7"/>
  <c r="F20" i="8" s="1"/>
  <c r="F22" i="8" s="1"/>
  <c r="E20" i="5"/>
  <c r="E6" i="6" s="1"/>
  <c r="F19" i="5"/>
  <c r="E28" i="5"/>
  <c r="F27" i="5" s="1"/>
  <c r="F36" i="4"/>
  <c r="G76" i="7" s="1"/>
  <c r="F35" i="4"/>
  <c r="G70" i="7" s="1"/>
  <c r="F21" i="5"/>
  <c r="F22" i="5" s="1"/>
  <c r="F34" i="4"/>
  <c r="G64" i="7" s="1"/>
  <c r="F38" i="4"/>
  <c r="G88" i="7" s="1"/>
  <c r="G90" i="7" s="1"/>
  <c r="F37" i="4"/>
  <c r="G82" i="7" s="1"/>
  <c r="G84" i="7" s="1"/>
  <c r="G87" i="7"/>
  <c r="F117" i="7"/>
  <c r="G116" i="7" s="1"/>
  <c r="H9" i="4"/>
  <c r="G17" i="4"/>
  <c r="G18" i="4"/>
  <c r="F28" i="4"/>
  <c r="F29" i="4"/>
  <c r="F27" i="4"/>
  <c r="F31" i="4"/>
  <c r="G30" i="7" s="1"/>
  <c r="G32" i="7" s="1"/>
  <c r="G34" i="10"/>
  <c r="F30" i="4"/>
  <c r="F43" i="4"/>
  <c r="D59" i="7"/>
  <c r="E58" i="7" s="1"/>
  <c r="E29" i="7"/>
  <c r="E31" i="7" s="1"/>
  <c r="E20" i="8" s="1"/>
  <c r="E22" i="8" s="1"/>
  <c r="F113" i="7"/>
  <c r="G112" i="7" s="1"/>
  <c r="G81" i="7"/>
  <c r="G83" i="7" s="1"/>
  <c r="G37" i="8" s="1"/>
  <c r="G39" i="8" s="1"/>
  <c r="F59" i="7"/>
  <c r="G58" i="7" s="1"/>
  <c r="G29" i="7"/>
  <c r="K7" i="4"/>
  <c r="F9" i="39"/>
  <c r="G6" i="39"/>
  <c r="I9" i="4" l="1"/>
  <c r="J9" i="4" s="1"/>
  <c r="K9" i="4" s="1"/>
  <c r="G89" i="7"/>
  <c r="G41" i="8" s="1"/>
  <c r="G43" i="8" s="1"/>
  <c r="F20" i="5"/>
  <c r="F6" i="6" s="1"/>
  <c r="H29" i="7"/>
  <c r="G59" i="7"/>
  <c r="H58" i="7" s="1"/>
  <c r="G19" i="5"/>
  <c r="F28" i="5"/>
  <c r="G27" i="5" s="1"/>
  <c r="H18" i="4"/>
  <c r="H17" i="4"/>
  <c r="G117" i="7"/>
  <c r="H116" i="7" s="1"/>
  <c r="H87" i="7"/>
  <c r="G31" i="7"/>
  <c r="G20" i="8" s="1"/>
  <c r="G22" i="8" s="1"/>
  <c r="G37" i="4"/>
  <c r="H82" i="7" s="1"/>
  <c r="H84" i="7" s="1"/>
  <c r="G38" i="4"/>
  <c r="H88" i="7" s="1"/>
  <c r="H90" i="7" s="1"/>
  <c r="G35" i="4"/>
  <c r="H70" i="7" s="1"/>
  <c r="G21" i="5"/>
  <c r="G34" i="4"/>
  <c r="H64" i="7" s="1"/>
  <c r="G36" i="4"/>
  <c r="H76" i="7" s="1"/>
  <c r="G29" i="4"/>
  <c r="G27" i="4"/>
  <c r="G28" i="4"/>
  <c r="G30" i="4"/>
  <c r="H34" i="10"/>
  <c r="G31" i="4"/>
  <c r="H30" i="7" s="1"/>
  <c r="H32" i="7" s="1"/>
  <c r="G43" i="4"/>
  <c r="H81" i="7"/>
  <c r="G113" i="7"/>
  <c r="H112" i="7" s="1"/>
  <c r="G9" i="39"/>
  <c r="H6" i="39"/>
  <c r="H31" i="7" l="1"/>
  <c r="H20" i="8" s="1"/>
  <c r="H22" i="8" s="1"/>
  <c r="H89" i="7"/>
  <c r="H41" i="8" s="1"/>
  <c r="H43" i="8" s="1"/>
  <c r="H59" i="7"/>
  <c r="I58" i="7" s="1"/>
  <c r="I29" i="7"/>
  <c r="G22" i="5"/>
  <c r="H36" i="4"/>
  <c r="I76" i="7" s="1"/>
  <c r="H35" i="4"/>
  <c r="I70" i="7" s="1"/>
  <c r="H34" i="4"/>
  <c r="I64" i="7" s="1"/>
  <c r="H38" i="4"/>
  <c r="I88" i="7" s="1"/>
  <c r="I90" i="7" s="1"/>
  <c r="H37" i="4"/>
  <c r="I82" i="7" s="1"/>
  <c r="I84" i="7" s="1"/>
  <c r="H21" i="5"/>
  <c r="H22" i="5" s="1"/>
  <c r="H113" i="7"/>
  <c r="I112" i="7" s="1"/>
  <c r="I81" i="7"/>
  <c r="H31" i="4"/>
  <c r="I30" i="7" s="1"/>
  <c r="I32" i="7" s="1"/>
  <c r="H43" i="4"/>
  <c r="H28" i="4"/>
  <c r="H27" i="4"/>
  <c r="I34" i="10"/>
  <c r="H30" i="4"/>
  <c r="H29" i="4"/>
  <c r="I17" i="4"/>
  <c r="I18" i="4"/>
  <c r="I87" i="7"/>
  <c r="H117" i="7"/>
  <c r="I116" i="7" s="1"/>
  <c r="H83" i="7"/>
  <c r="H37" i="8" s="1"/>
  <c r="H39" i="8" s="1"/>
  <c r="H9" i="39"/>
  <c r="I6" i="39"/>
  <c r="I83" i="7" l="1"/>
  <c r="I37" i="8" s="1"/>
  <c r="I39" i="8" s="1"/>
  <c r="I89" i="7"/>
  <c r="I41" i="8" s="1"/>
  <c r="I43" i="8" s="1"/>
  <c r="I31" i="7"/>
  <c r="I20" i="8" s="1"/>
  <c r="I22" i="8" s="1"/>
  <c r="H19" i="5"/>
  <c r="H20" i="5" s="1"/>
  <c r="H6" i="6" s="1"/>
  <c r="G28" i="5"/>
  <c r="H27" i="5" s="1"/>
  <c r="J87" i="7"/>
  <c r="I117" i="7"/>
  <c r="J116" i="7" s="1"/>
  <c r="I27" i="4"/>
  <c r="I28" i="4"/>
  <c r="I43" i="4"/>
  <c r="I31" i="4"/>
  <c r="J30" i="7" s="1"/>
  <c r="J32" i="7" s="1"/>
  <c r="I29" i="4"/>
  <c r="J34" i="10"/>
  <c r="I30" i="4"/>
  <c r="I59" i="7"/>
  <c r="J58" i="7" s="1"/>
  <c r="J29" i="7"/>
  <c r="J81" i="7"/>
  <c r="I113" i="7"/>
  <c r="J112" i="7" s="1"/>
  <c r="G20" i="5"/>
  <c r="G6" i="6" s="1"/>
  <c r="I21" i="5"/>
  <c r="I22" i="5" s="1"/>
  <c r="I35" i="4"/>
  <c r="J70" i="7" s="1"/>
  <c r="I36" i="4"/>
  <c r="J76" i="7" s="1"/>
  <c r="I34" i="4"/>
  <c r="J64" i="7" s="1"/>
  <c r="I37" i="4"/>
  <c r="J82" i="7" s="1"/>
  <c r="J84" i="7" s="1"/>
  <c r="I38" i="4"/>
  <c r="J88" i="7" s="1"/>
  <c r="J90" i="7" s="1"/>
  <c r="I19" i="5"/>
  <c r="H28" i="5"/>
  <c r="I27" i="5" s="1"/>
  <c r="J17" i="4"/>
  <c r="J18" i="4"/>
  <c r="I9" i="39"/>
  <c r="J6" i="39"/>
  <c r="J31" i="7" l="1"/>
  <c r="J20" i="8" s="1"/>
  <c r="J22" i="8" s="1"/>
  <c r="J113" i="7"/>
  <c r="K112" i="7" s="1"/>
  <c r="K81" i="7"/>
  <c r="K17" i="4"/>
  <c r="K18" i="4"/>
  <c r="J89" i="7"/>
  <c r="J41" i="8" s="1"/>
  <c r="J43" i="8" s="1"/>
  <c r="J19" i="5"/>
  <c r="I28" i="5"/>
  <c r="J27" i="5" s="1"/>
  <c r="J117" i="7"/>
  <c r="K116" i="7" s="1"/>
  <c r="K87" i="7"/>
  <c r="K34" i="10"/>
  <c r="J27" i="4"/>
  <c r="J43" i="4"/>
  <c r="J31" i="4"/>
  <c r="K30" i="7" s="1"/>
  <c r="K32" i="7" s="1"/>
  <c r="J28" i="4"/>
  <c r="J29" i="4"/>
  <c r="J30" i="4"/>
  <c r="J35" i="4"/>
  <c r="K70" i="7" s="1"/>
  <c r="J37" i="4"/>
  <c r="K82" i="7" s="1"/>
  <c r="K84" i="7" s="1"/>
  <c r="J21" i="5"/>
  <c r="J22" i="5" s="1"/>
  <c r="J38" i="4"/>
  <c r="K88" i="7" s="1"/>
  <c r="K90" i="7" s="1"/>
  <c r="J36" i="4"/>
  <c r="K76" i="7" s="1"/>
  <c r="J34" i="4"/>
  <c r="K64" i="7" s="1"/>
  <c r="J59" i="7"/>
  <c r="K58" i="7" s="1"/>
  <c r="K29" i="7"/>
  <c r="J83" i="7"/>
  <c r="J37" i="8" s="1"/>
  <c r="J39" i="8" s="1"/>
  <c r="I20" i="5"/>
  <c r="I6" i="6" s="1"/>
  <c r="J9" i="39"/>
  <c r="K6" i="39"/>
  <c r="K89" i="7" l="1"/>
  <c r="K41" i="8" s="1"/>
  <c r="K43" i="8" s="1"/>
  <c r="J20" i="5"/>
  <c r="J6" i="6" s="1"/>
  <c r="K27" i="4"/>
  <c r="L34" i="10"/>
  <c r="K28" i="4"/>
  <c r="K29" i="4"/>
  <c r="K31" i="4"/>
  <c r="L30" i="7" s="1"/>
  <c r="L32" i="7" s="1"/>
  <c r="L59" i="7" s="1"/>
  <c r="K30" i="4"/>
  <c r="K43" i="4"/>
  <c r="K83" i="7"/>
  <c r="K37" i="8" s="1"/>
  <c r="K39" i="8" s="1"/>
  <c r="L29" i="7"/>
  <c r="K59" i="7"/>
  <c r="L58" i="7" s="1"/>
  <c r="K113" i="7"/>
  <c r="L112" i="7" s="1"/>
  <c r="L81" i="7"/>
  <c r="J28" i="5"/>
  <c r="K27" i="5" s="1"/>
  <c r="K19" i="5"/>
  <c r="K117" i="7"/>
  <c r="L116" i="7" s="1"/>
  <c r="L87" i="7"/>
  <c r="K36" i="4"/>
  <c r="L76" i="7" s="1"/>
  <c r="K35" i="4"/>
  <c r="L70" i="7" s="1"/>
  <c r="K38" i="4"/>
  <c r="L88" i="7" s="1"/>
  <c r="L90" i="7" s="1"/>
  <c r="L117" i="7" s="1"/>
  <c r="K34" i="4"/>
  <c r="L64" i="7" s="1"/>
  <c r="K21" i="5"/>
  <c r="K37" i="4"/>
  <c r="L82" i="7" s="1"/>
  <c r="L84" i="7" s="1"/>
  <c r="L113" i="7" s="1"/>
  <c r="K31" i="7"/>
  <c r="K20" i="8" s="1"/>
  <c r="K22" i="8" s="1"/>
  <c r="K9" i="39"/>
  <c r="L6" i="39"/>
  <c r="K22" i="5" l="1"/>
  <c r="K28" i="5" s="1"/>
  <c r="L31" i="7"/>
  <c r="L20" i="8" s="1"/>
  <c r="L22" i="8" s="1"/>
  <c r="L89" i="7"/>
  <c r="L41" i="8" s="1"/>
  <c r="L43" i="8" s="1"/>
  <c r="L83" i="7"/>
  <c r="L37" i="8" s="1"/>
  <c r="L39" i="8" s="1"/>
  <c r="L9" i="39"/>
  <c r="K20" i="5" l="1"/>
  <c r="K6" i="6" s="1"/>
  <c r="B8" i="2"/>
  <c r="E8" i="2" s="1"/>
  <c r="C4" i="38" l="1"/>
  <c r="C5" i="38" s="1"/>
  <c r="C19" i="38" s="1"/>
  <c r="C11" i="38" l="1"/>
  <c r="C10" i="38" s="1"/>
  <c r="C13" i="38" s="1"/>
  <c r="C23" i="38" s="1"/>
  <c r="D4" i="38"/>
  <c r="E4" i="38" s="1"/>
  <c r="F4" i="38" s="1"/>
  <c r="G4" i="38" s="1"/>
  <c r="H4" i="38" s="1"/>
  <c r="I4" i="38" s="1"/>
  <c r="J4" i="38" s="1"/>
  <c r="K4" i="38" s="1"/>
  <c r="B13" i="38"/>
  <c r="B23" i="38" s="1"/>
  <c r="A19" i="36"/>
  <c r="A32" i="36" s="1"/>
  <c r="A45" i="36" s="1"/>
  <c r="C64" i="18"/>
  <c r="C17" i="8"/>
  <c r="D38" i="7"/>
  <c r="D64" i="18" s="1"/>
  <c r="D37" i="7"/>
  <c r="E37" i="7" s="1"/>
  <c r="F37" i="7" s="1"/>
  <c r="G37" i="7" s="1"/>
  <c r="H37" i="7" s="1"/>
  <c r="I37" i="7" s="1"/>
  <c r="J37" i="7" s="1"/>
  <c r="K37" i="7" s="1"/>
  <c r="L37" i="7" s="1"/>
  <c r="D36" i="7"/>
  <c r="E36" i="7" s="1"/>
  <c r="F36" i="7" s="1"/>
  <c r="G36" i="7" s="1"/>
  <c r="H36" i="7" s="1"/>
  <c r="I36" i="7" s="1"/>
  <c r="J36" i="7" s="1"/>
  <c r="K36" i="7" s="1"/>
  <c r="L36" i="7" s="1"/>
  <c r="D35" i="7"/>
  <c r="E35" i="7" s="1"/>
  <c r="F35" i="7" s="1"/>
  <c r="G35" i="7" s="1"/>
  <c r="H35" i="7" s="1"/>
  <c r="I35" i="7" s="1"/>
  <c r="J35" i="7" s="1"/>
  <c r="K35" i="7" s="1"/>
  <c r="L35" i="7" s="1"/>
  <c r="C23" i="7"/>
  <c r="N29" i="4"/>
  <c r="B22" i="7"/>
  <c r="B16" i="7"/>
  <c r="B10" i="7"/>
  <c r="D5" i="38" l="1"/>
  <c r="D11" i="38" s="1"/>
  <c r="D17" i="8"/>
  <c r="E38" i="7"/>
  <c r="B38" i="7"/>
  <c r="B64" i="18" s="1"/>
  <c r="B53" i="7"/>
  <c r="B16" i="8"/>
  <c r="E5" i="38" l="1"/>
  <c r="E11" i="38" s="1"/>
  <c r="D19" i="38"/>
  <c r="B21" i="38"/>
  <c r="B25" i="38" s="1"/>
  <c r="C18" i="38"/>
  <c r="D10" i="38"/>
  <c r="D13" i="38" s="1"/>
  <c r="D23" i="38" s="1"/>
  <c r="F38" i="7"/>
  <c r="E64" i="18"/>
  <c r="E17" i="8"/>
  <c r="A30" i="36"/>
  <c r="A43" i="36" s="1"/>
  <c r="A29" i="36"/>
  <c r="A42" i="36" s="1"/>
  <c r="F5" i="38" l="1"/>
  <c r="F11" i="38" s="1"/>
  <c r="E19" i="38"/>
  <c r="D18" i="38"/>
  <c r="C21" i="38"/>
  <c r="C25" i="38" s="1"/>
  <c r="E10" i="38"/>
  <c r="G38" i="7"/>
  <c r="F17" i="8"/>
  <c r="F64" i="18"/>
  <c r="C11" i="5"/>
  <c r="D11" i="5" s="1"/>
  <c r="E11" i="5" s="1"/>
  <c r="F11" i="5" s="1"/>
  <c r="G11" i="5" s="1"/>
  <c r="H11" i="5" s="1"/>
  <c r="I11" i="5" s="1"/>
  <c r="J11" i="5" s="1"/>
  <c r="K11" i="5" s="1"/>
  <c r="G11" i="38" l="1"/>
  <c r="F19" i="38"/>
  <c r="D21" i="38"/>
  <c r="D25" i="38" s="1"/>
  <c r="E13" i="38"/>
  <c r="E23" i="38" s="1"/>
  <c r="F10" i="38"/>
  <c r="H38" i="7"/>
  <c r="G17" i="8"/>
  <c r="G64" i="18"/>
  <c r="G19" i="38" l="1"/>
  <c r="E18" i="38"/>
  <c r="F13" i="38"/>
  <c r="F23" i="38" s="1"/>
  <c r="H11" i="38"/>
  <c r="G10" i="38"/>
  <c r="I38" i="7"/>
  <c r="H64" i="18"/>
  <c r="H17" i="8"/>
  <c r="H19" i="38" l="1"/>
  <c r="F18" i="38"/>
  <c r="E21" i="38"/>
  <c r="E25" i="38" s="1"/>
  <c r="G13" i="38"/>
  <c r="G23" i="38" s="1"/>
  <c r="H10" i="38"/>
  <c r="J38" i="7"/>
  <c r="I64" i="18"/>
  <c r="I17" i="8"/>
  <c r="N28" i="4"/>
  <c r="N30" i="4"/>
  <c r="N27" i="4"/>
  <c r="I19" i="38" l="1"/>
  <c r="I11" i="38"/>
  <c r="F21" i="38"/>
  <c r="F25" i="38" s="1"/>
  <c r="G18" i="38"/>
  <c r="H13" i="38"/>
  <c r="H23" i="38" s="1"/>
  <c r="I10" i="38"/>
  <c r="K38" i="7"/>
  <c r="J17" i="8"/>
  <c r="J64" i="18"/>
  <c r="N40" i="4"/>
  <c r="J52" i="17"/>
  <c r="I56" i="17"/>
  <c r="J56" i="17"/>
  <c r="K56" i="17"/>
  <c r="I13" i="30"/>
  <c r="J13" i="30" s="1"/>
  <c r="K13" i="30" s="1"/>
  <c r="K24" i="16"/>
  <c r="L24" i="16"/>
  <c r="M24" i="16"/>
  <c r="L25" i="16"/>
  <c r="M26" i="16"/>
  <c r="J20" i="15"/>
  <c r="K20" i="15"/>
  <c r="M25" i="16" s="1"/>
  <c r="L20" i="15"/>
  <c r="I30" i="12"/>
  <c r="I37" i="17" s="1"/>
  <c r="J30" i="12"/>
  <c r="J37" i="17" s="1"/>
  <c r="K30" i="12"/>
  <c r="K52" i="17" s="1"/>
  <c r="B27" i="12"/>
  <c r="C5" i="37" s="1"/>
  <c r="H10" i="31"/>
  <c r="B13" i="30"/>
  <c r="C13" i="30" s="1"/>
  <c r="D13" i="30" s="1"/>
  <c r="E13" i="30" s="1"/>
  <c r="F13" i="30" s="1"/>
  <c r="G13" i="30" s="1"/>
  <c r="H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L26" i="16" l="1"/>
  <c r="K37" i="17"/>
  <c r="I52" i="17"/>
  <c r="K26" i="16"/>
  <c r="C27" i="12"/>
  <c r="J19" i="38"/>
  <c r="J11" i="38"/>
  <c r="G21" i="38"/>
  <c r="G25" i="38" s="1"/>
  <c r="H18" i="38"/>
  <c r="I13" i="38"/>
  <c r="I23" i="38" s="1"/>
  <c r="J10" i="38"/>
  <c r="L38" i="7"/>
  <c r="K17" i="8"/>
  <c r="K64" i="18"/>
  <c r="K22" i="29"/>
  <c r="K12" i="29"/>
  <c r="D5" i="37" l="1"/>
  <c r="D27" i="12"/>
  <c r="K11" i="38"/>
  <c r="K10" i="38" s="1"/>
  <c r="K13" i="38" s="1"/>
  <c r="K23" i="38" s="1"/>
  <c r="K19" i="38"/>
  <c r="H21" i="38"/>
  <c r="H25" i="38" s="1"/>
  <c r="I18" i="38"/>
  <c r="J13" i="38"/>
  <c r="J23" i="38" s="1"/>
  <c r="L64" i="18"/>
  <c r="L17" i="8"/>
  <c r="E27" i="12" l="1"/>
  <c r="E5" i="37"/>
  <c r="I21" i="38"/>
  <c r="I25" i="38" s="1"/>
  <c r="J18" i="38"/>
  <c r="B12" i="5"/>
  <c r="B4" i="6" s="1"/>
  <c r="F27" i="12" l="1"/>
  <c r="F5" i="37"/>
  <c r="K18" i="38"/>
  <c r="K21" i="38" s="1"/>
  <c r="K25" i="38" s="1"/>
  <c r="J21" i="38"/>
  <c r="J25" i="38" s="1"/>
  <c r="B17" i="28"/>
  <c r="C17" i="28" s="1"/>
  <c r="D17" i="28" s="1"/>
  <c r="E17" i="28" s="1"/>
  <c r="F17" i="28" s="1"/>
  <c r="G17" i="28" s="1"/>
  <c r="H17" i="28" s="1"/>
  <c r="B5" i="28"/>
  <c r="G27" i="12" l="1"/>
  <c r="G5" i="37"/>
  <c r="B4" i="7"/>
  <c r="B35" i="7" s="1"/>
  <c r="C55" i="18"/>
  <c r="C54" i="18"/>
  <c r="H27" i="12" l="1"/>
  <c r="H5" i="37"/>
  <c r="C12" i="5"/>
  <c r="I27" i="12" l="1"/>
  <c r="I5" i="37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J27" i="12" l="1"/>
  <c r="J5" i="37"/>
  <c r="I8" i="14"/>
  <c r="I40" i="17"/>
  <c r="I9" i="30"/>
  <c r="I53" i="17"/>
  <c r="I8" i="29"/>
  <c r="B6" i="31"/>
  <c r="B9" i="30"/>
  <c r="B8" i="29"/>
  <c r="J26" i="16"/>
  <c r="H7" i="31"/>
  <c r="H9" i="31" s="1"/>
  <c r="C32" i="15"/>
  <c r="E12" i="5"/>
  <c r="B7" i="17"/>
  <c r="B40" i="17"/>
  <c r="B53" i="17"/>
  <c r="K27" i="12" l="1"/>
  <c r="K5" i="37"/>
  <c r="J40" i="17"/>
  <c r="J9" i="30"/>
  <c r="J53" i="17"/>
  <c r="J8" i="29"/>
  <c r="J8" i="14"/>
  <c r="F12" i="5"/>
  <c r="L5" i="37" l="1"/>
  <c r="K53" i="17"/>
  <c r="K8" i="29"/>
  <c r="K9" i="30"/>
  <c r="K8" i="14"/>
  <c r="K40" i="17"/>
  <c r="G12" i="5"/>
  <c r="H6" i="22"/>
  <c r="G6" i="22"/>
  <c r="H5" i="22"/>
  <c r="G5" i="22"/>
  <c r="G9" i="22"/>
  <c r="G8" i="22"/>
  <c r="G7" i="22"/>
  <c r="H8" i="22"/>
  <c r="B7" i="12" l="1"/>
  <c r="H9" i="22"/>
  <c r="H7" i="22"/>
  <c r="I4" i="22"/>
  <c r="H12" i="5" l="1"/>
  <c r="E15" i="18"/>
  <c r="I5" i="22"/>
  <c r="I6" i="22"/>
  <c r="C7" i="12"/>
  <c r="I9" i="22"/>
  <c r="I8" i="22"/>
  <c r="J4" i="22"/>
  <c r="I7" i="22"/>
  <c r="I12" i="5" l="1"/>
  <c r="F15" i="18"/>
  <c r="J5" i="22"/>
  <c r="J6" i="22"/>
  <c r="D7" i="12"/>
  <c r="J9" i="22"/>
  <c r="J8" i="22"/>
  <c r="K4" i="22"/>
  <c r="J7" i="22"/>
  <c r="I4" i="6" l="1"/>
  <c r="K12" i="5"/>
  <c r="J12" i="5"/>
  <c r="G15" i="18"/>
  <c r="K5" i="22"/>
  <c r="K6" i="22"/>
  <c r="E7" i="12"/>
  <c r="K7" i="22"/>
  <c r="K9" i="22"/>
  <c r="K8" i="22"/>
  <c r="L4" i="22"/>
  <c r="J4" i="6" l="1"/>
  <c r="K4" i="6"/>
  <c r="J43" i="18"/>
  <c r="H15" i="18"/>
  <c r="L6" i="22"/>
  <c r="L5" i="22"/>
  <c r="F7" i="12"/>
  <c r="L8" i="22"/>
  <c r="M4" i="22"/>
  <c r="L7" i="22"/>
  <c r="L9" i="22"/>
  <c r="L43" i="18" l="1"/>
  <c r="K43" i="18"/>
  <c r="I15" i="18"/>
  <c r="M5" i="22"/>
  <c r="M6" i="22"/>
  <c r="G7" i="12"/>
  <c r="M9" i="22"/>
  <c r="M8" i="22"/>
  <c r="M7" i="22"/>
  <c r="H7" i="12" l="1"/>
  <c r="C3" i="21" l="1"/>
  <c r="C46" i="18"/>
  <c r="B15" i="6"/>
  <c r="C26" i="10"/>
  <c r="B10" i="23"/>
  <c r="D46" i="18" l="1"/>
  <c r="C15" i="6"/>
  <c r="D26" i="10"/>
  <c r="C10" i="23"/>
  <c r="D3" i="21"/>
  <c r="C62" i="18"/>
  <c r="C63" i="18"/>
  <c r="C61" i="18"/>
  <c r="B61" i="18"/>
  <c r="C52" i="18"/>
  <c r="B34" i="18"/>
  <c r="B36" i="18"/>
  <c r="B33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D12" i="10"/>
  <c r="E12" i="10" s="1"/>
  <c r="F12" i="10" s="1"/>
  <c r="G12" i="10" s="1"/>
  <c r="H12" i="10" s="1"/>
  <c r="I12" i="10" s="1"/>
  <c r="J12" i="10" s="1"/>
  <c r="K12" i="10" s="1"/>
  <c r="L12" i="10" s="1"/>
  <c r="D7" i="10"/>
  <c r="E7" i="10" s="1"/>
  <c r="F7" i="10" s="1"/>
  <c r="G7" i="10" s="1"/>
  <c r="H7" i="10" s="1"/>
  <c r="I7" i="10" s="1"/>
  <c r="J7" i="10" s="1"/>
  <c r="K7" i="10" s="1"/>
  <c r="L7" i="10" s="1"/>
  <c r="D6" i="10"/>
  <c r="C25" i="10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D25" i="10" l="1"/>
  <c r="E25" i="10" s="1"/>
  <c r="F25" i="10" s="1"/>
  <c r="G25" i="10" s="1"/>
  <c r="H25" i="10" s="1"/>
  <c r="I25" i="10" s="1"/>
  <c r="J25" i="10" s="1"/>
  <c r="K25" i="10" s="1"/>
  <c r="L25" i="10" s="1"/>
  <c r="B6" i="2"/>
  <c r="E6" i="2" s="1"/>
  <c r="E46" i="18"/>
  <c r="E26" i="10"/>
  <c r="D15" i="6"/>
  <c r="D10" i="23"/>
  <c r="E3" i="21"/>
  <c r="E6" i="10"/>
  <c r="N13" i="10" l="1"/>
  <c r="O16" i="10"/>
  <c r="C15" i="16"/>
  <c r="C32" i="16" s="1"/>
  <c r="F46" i="18"/>
  <c r="E15" i="6"/>
  <c r="F26" i="10"/>
  <c r="E10" i="23"/>
  <c r="F3" i="21"/>
  <c r="C5" i="3"/>
  <c r="F6" i="10"/>
  <c r="C23" i="10" l="1"/>
  <c r="G3" i="21"/>
  <c r="G46" i="18"/>
  <c r="G26" i="10"/>
  <c r="F15" i="6"/>
  <c r="F10" i="23"/>
  <c r="B28" i="15"/>
  <c r="B30" i="15" s="1"/>
  <c r="C10" i="3"/>
  <c r="G6" i="10"/>
  <c r="H3" i="21" l="1"/>
  <c r="H46" i="18"/>
  <c r="H26" i="10"/>
  <c r="G15" i="6"/>
  <c r="G10" i="23"/>
  <c r="H6" i="10"/>
  <c r="I46" i="18" l="1"/>
  <c r="H15" i="6"/>
  <c r="I26" i="10"/>
  <c r="H10" i="23"/>
  <c r="I6" i="10"/>
  <c r="J6" i="10" s="1"/>
  <c r="K6" i="10" s="1"/>
  <c r="L6" i="10" s="1"/>
  <c r="E18" i="9" l="1"/>
  <c r="G17" i="9"/>
  <c r="G16" i="9"/>
  <c r="G13" i="9"/>
  <c r="G12" i="9"/>
  <c r="G11" i="9"/>
  <c r="G9" i="9"/>
  <c r="G8" i="9"/>
  <c r="G7" i="9"/>
  <c r="G5" i="9"/>
  <c r="G4" i="9"/>
  <c r="G3" i="9"/>
  <c r="C13" i="8"/>
  <c r="B12" i="8"/>
  <c r="C9" i="8"/>
  <c r="C5" i="8"/>
  <c r="B11" i="12"/>
  <c r="B49" i="7"/>
  <c r="B37" i="7"/>
  <c r="B63" i="18" s="1"/>
  <c r="C17" i="7"/>
  <c r="C11" i="7"/>
  <c r="B45" i="7"/>
  <c r="C5" i="7"/>
  <c r="B41" i="7"/>
  <c r="C43" i="18"/>
  <c r="C24" i="10" l="1"/>
  <c r="G18" i="9"/>
  <c r="C13" i="10"/>
  <c r="D61" i="18"/>
  <c r="D63" i="18"/>
  <c r="B8" i="8"/>
  <c r="B4" i="8"/>
  <c r="D62" i="18"/>
  <c r="D9" i="8"/>
  <c r="D13" i="8"/>
  <c r="D5" i="8"/>
  <c r="B36" i="7"/>
  <c r="B62" i="18" s="1"/>
  <c r="D13" i="10" l="1"/>
  <c r="C17" i="10"/>
  <c r="C18" i="10" s="1"/>
  <c r="D24" i="10"/>
  <c r="E61" i="18"/>
  <c r="E5" i="8"/>
  <c r="E63" i="18"/>
  <c r="E13" i="8"/>
  <c r="E62" i="18"/>
  <c r="E9" i="8"/>
  <c r="E24" i="10" l="1"/>
  <c r="E13" i="10"/>
  <c r="D17" i="10"/>
  <c r="D18" i="10" s="1"/>
  <c r="F61" i="18"/>
  <c r="F5" i="8"/>
  <c r="F13" i="8"/>
  <c r="F63" i="18"/>
  <c r="G62" i="18"/>
  <c r="G9" i="8"/>
  <c r="F62" i="18"/>
  <c r="F9" i="8"/>
  <c r="F24" i="10" l="1"/>
  <c r="E17" i="10"/>
  <c r="E18" i="10" s="1"/>
  <c r="F13" i="10"/>
  <c r="G61" i="18"/>
  <c r="G5" i="8"/>
  <c r="G13" i="8"/>
  <c r="G63" i="18"/>
  <c r="H62" i="18"/>
  <c r="H9" i="8"/>
  <c r="J9" i="8" l="1"/>
  <c r="J62" i="18"/>
  <c r="G24" i="10"/>
  <c r="F17" i="10"/>
  <c r="F18" i="10" s="1"/>
  <c r="G13" i="10"/>
  <c r="H61" i="18"/>
  <c r="H5" i="8"/>
  <c r="H13" i="8"/>
  <c r="H63" i="18"/>
  <c r="I62" i="18"/>
  <c r="I9" i="8"/>
  <c r="D8" i="1"/>
  <c r="C4" i="6"/>
  <c r="D43" i="18" s="1"/>
  <c r="J63" i="18" l="1"/>
  <c r="J13" i="8"/>
  <c r="K9" i="8"/>
  <c r="K62" i="18"/>
  <c r="J61" i="18"/>
  <c r="J5" i="8"/>
  <c r="H24" i="10"/>
  <c r="H13" i="10"/>
  <c r="G17" i="10"/>
  <c r="G18" i="10" s="1"/>
  <c r="D14" i="18"/>
  <c r="I5" i="8"/>
  <c r="I61" i="18"/>
  <c r="I13" i="8"/>
  <c r="I63" i="18"/>
  <c r="E13" i="18"/>
  <c r="D4" i="6"/>
  <c r="E43" i="18" s="1"/>
  <c r="K63" i="18" l="1"/>
  <c r="K13" i="8"/>
  <c r="L62" i="18"/>
  <c r="L9" i="8"/>
  <c r="K5" i="8"/>
  <c r="K61" i="18"/>
  <c r="I24" i="10"/>
  <c r="H17" i="10"/>
  <c r="H18" i="10" s="1"/>
  <c r="I13" i="10"/>
  <c r="J13" i="10" s="1"/>
  <c r="F13" i="18"/>
  <c r="E4" i="6"/>
  <c r="F43" i="18" s="1"/>
  <c r="L63" i="18" l="1"/>
  <c r="L13" i="8"/>
  <c r="L5" i="8"/>
  <c r="L61" i="18"/>
  <c r="K13" i="10"/>
  <c r="J17" i="10"/>
  <c r="J18" i="10" s="1"/>
  <c r="J24" i="10"/>
  <c r="I17" i="10"/>
  <c r="I18" i="10" s="1"/>
  <c r="E14" i="18"/>
  <c r="G13" i="18"/>
  <c r="F4" i="6"/>
  <c r="G43" i="18" s="1"/>
  <c r="K24" i="10" l="1"/>
  <c r="K17" i="10"/>
  <c r="K18" i="10" s="1"/>
  <c r="L13" i="10"/>
  <c r="F14" i="18"/>
  <c r="C11" i="23"/>
  <c r="H13" i="18"/>
  <c r="G4" i="6"/>
  <c r="H43" i="18" s="1"/>
  <c r="L17" i="10" l="1"/>
  <c r="L18" i="10" s="1"/>
  <c r="L24" i="10"/>
  <c r="G14" i="18"/>
  <c r="H4" i="6"/>
  <c r="I43" i="18" s="1"/>
  <c r="J13" i="18" l="1"/>
  <c r="I12" i="4"/>
  <c r="H14" i="18"/>
  <c r="I13" i="18"/>
  <c r="I29" i="38" l="1"/>
  <c r="I27" i="38"/>
  <c r="J14" i="18"/>
  <c r="I42" i="4"/>
  <c r="K13" i="18"/>
  <c r="J12" i="4"/>
  <c r="I14" i="18"/>
  <c r="C13" i="4"/>
  <c r="D52" i="18" s="1"/>
  <c r="J27" i="38" l="1"/>
  <c r="J29" i="38"/>
  <c r="I23" i="4"/>
  <c r="I22" i="4"/>
  <c r="I21" i="4"/>
  <c r="I20" i="4"/>
  <c r="J18" i="7"/>
  <c r="J37" i="10"/>
  <c r="J33" i="18"/>
  <c r="J6" i="7"/>
  <c r="J34" i="18"/>
  <c r="I7" i="5"/>
  <c r="J12" i="7"/>
  <c r="J42" i="4"/>
  <c r="L13" i="18"/>
  <c r="K12" i="4"/>
  <c r="K14" i="18"/>
  <c r="D11" i="23"/>
  <c r="F24" i="16"/>
  <c r="D13" i="4"/>
  <c r="E52" i="18" s="1"/>
  <c r="F12" i="4"/>
  <c r="C12" i="4"/>
  <c r="D12" i="4"/>
  <c r="G12" i="4"/>
  <c r="H12" i="4"/>
  <c r="B27" i="38"/>
  <c r="E12" i="4"/>
  <c r="F27" i="38" l="1"/>
  <c r="F29" i="38"/>
  <c r="E29" i="38"/>
  <c r="E27" i="38"/>
  <c r="H27" i="38"/>
  <c r="H29" i="38"/>
  <c r="C27" i="38"/>
  <c r="C29" i="38"/>
  <c r="D27" i="38"/>
  <c r="D29" i="38"/>
  <c r="G27" i="38"/>
  <c r="G29" i="38"/>
  <c r="K29" i="38"/>
  <c r="K27" i="38"/>
  <c r="G21" i="4"/>
  <c r="G20" i="4"/>
  <c r="G23" i="4"/>
  <c r="G22" i="4"/>
  <c r="E23" i="4"/>
  <c r="E22" i="4"/>
  <c r="E21" i="4"/>
  <c r="E20" i="4"/>
  <c r="F22" i="4"/>
  <c r="F21" i="4"/>
  <c r="F20" i="4"/>
  <c r="F23" i="4"/>
  <c r="H20" i="4"/>
  <c r="H23" i="4"/>
  <c r="H22" i="4"/>
  <c r="H21" i="4"/>
  <c r="J22" i="4"/>
  <c r="J21" i="4"/>
  <c r="J20" i="4"/>
  <c r="J23" i="4"/>
  <c r="C21" i="4"/>
  <c r="C20" i="4"/>
  <c r="C23" i="4"/>
  <c r="C22" i="4"/>
  <c r="D20" i="4"/>
  <c r="D23" i="4"/>
  <c r="D22" i="4"/>
  <c r="D21" i="4"/>
  <c r="B23" i="4"/>
  <c r="B22" i="4"/>
  <c r="B21" i="4"/>
  <c r="B20" i="4"/>
  <c r="H18" i="7"/>
  <c r="H37" i="10"/>
  <c r="F18" i="7"/>
  <c r="F37" i="10"/>
  <c r="G18" i="7"/>
  <c r="G37" i="10"/>
  <c r="I18" i="7"/>
  <c r="I37" i="10"/>
  <c r="K18" i="7"/>
  <c r="K37" i="10"/>
  <c r="D18" i="7"/>
  <c r="D37" i="10"/>
  <c r="E18" i="7"/>
  <c r="E37" i="10"/>
  <c r="C18" i="7"/>
  <c r="C20" i="7" s="1"/>
  <c r="G4" i="28"/>
  <c r="G6" i="28" s="1"/>
  <c r="G7" i="28" s="1"/>
  <c r="G8" i="28" s="1"/>
  <c r="H4" i="28"/>
  <c r="H6" i="28" s="1"/>
  <c r="H7" i="28" s="1"/>
  <c r="H8" i="28" s="1"/>
  <c r="J24" i="7"/>
  <c r="J26" i="7" s="1"/>
  <c r="I45" i="4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33" i="18"/>
  <c r="I8" i="5"/>
  <c r="I16" i="5" s="1"/>
  <c r="L14" i="18"/>
  <c r="K42" i="4"/>
  <c r="K6" i="7"/>
  <c r="K12" i="7"/>
  <c r="K34" i="18"/>
  <c r="J7" i="5"/>
  <c r="B4" i="28"/>
  <c r="B6" i="28" s="1"/>
  <c r="B7" i="28" s="1"/>
  <c r="B8" i="28" s="1"/>
  <c r="C14" i="4"/>
  <c r="C6" i="12" s="1"/>
  <c r="F34" i="18"/>
  <c r="F6" i="7"/>
  <c r="E7" i="5"/>
  <c r="E8" i="5" s="1"/>
  <c r="E16" i="5" s="1"/>
  <c r="F12" i="7"/>
  <c r="I34" i="18"/>
  <c r="I6" i="7"/>
  <c r="H7" i="5"/>
  <c r="I12" i="7"/>
  <c r="E12" i="7"/>
  <c r="E34" i="18"/>
  <c r="D7" i="5"/>
  <c r="D8" i="5" s="1"/>
  <c r="D16" i="5" s="1"/>
  <c r="E6" i="7"/>
  <c r="F7" i="5"/>
  <c r="F8" i="5" s="1"/>
  <c r="F16" i="5" s="1"/>
  <c r="G6" i="7"/>
  <c r="G34" i="18"/>
  <c r="G12" i="7"/>
  <c r="E4" i="28"/>
  <c r="E6" i="28" s="1"/>
  <c r="E7" i="28" s="1"/>
  <c r="E8" i="28" s="1"/>
  <c r="E24" i="4"/>
  <c r="C6" i="7"/>
  <c r="C8" i="7" s="1"/>
  <c r="B7" i="5"/>
  <c r="C12" i="7"/>
  <c r="C14" i="7" s="1"/>
  <c r="C24" i="7"/>
  <c r="H6" i="7"/>
  <c r="H34" i="18"/>
  <c r="G7" i="5"/>
  <c r="G8" i="5" s="1"/>
  <c r="G16" i="5" s="1"/>
  <c r="H12" i="7"/>
  <c r="D6" i="7"/>
  <c r="D34" i="18"/>
  <c r="C7" i="5"/>
  <c r="C8" i="5" s="1"/>
  <c r="C16" i="5" s="1"/>
  <c r="D12" i="7"/>
  <c r="F11" i="23"/>
  <c r="H24" i="16"/>
  <c r="E11" i="23"/>
  <c r="G24" i="16"/>
  <c r="D42" i="4"/>
  <c r="C24" i="4"/>
  <c r="E13" i="4"/>
  <c r="F52" i="18" s="1"/>
  <c r="C42" i="4"/>
  <c r="E42" i="4"/>
  <c r="D14" i="4"/>
  <c r="D6" i="12" s="1"/>
  <c r="B42" i="4"/>
  <c r="B14" i="4"/>
  <c r="B6" i="12" s="1"/>
  <c r="D24" i="4"/>
  <c r="F42" i="4"/>
  <c r="F24" i="4"/>
  <c r="J40" i="10" l="1"/>
  <c r="H15" i="5"/>
  <c r="G31" i="5"/>
  <c r="J15" i="5"/>
  <c r="I31" i="5"/>
  <c r="G15" i="5"/>
  <c r="F31" i="5"/>
  <c r="E15" i="5"/>
  <c r="D31" i="5"/>
  <c r="D15" i="5"/>
  <c r="C31" i="5"/>
  <c r="F15" i="5"/>
  <c r="E31" i="5"/>
  <c r="J38" i="10"/>
  <c r="J31" i="10"/>
  <c r="J36" i="18"/>
  <c r="J5" i="39"/>
  <c r="K21" i="4"/>
  <c r="K20" i="4"/>
  <c r="K23" i="4"/>
  <c r="K22" i="4"/>
  <c r="L18" i="7"/>
  <c r="L37" i="10"/>
  <c r="D4" i="36"/>
  <c r="D43" i="36"/>
  <c r="D30" i="36"/>
  <c r="D17" i="36"/>
  <c r="C4" i="36"/>
  <c r="C17" i="36"/>
  <c r="C43" i="36"/>
  <c r="C30" i="36"/>
  <c r="J32" i="10"/>
  <c r="B30" i="36"/>
  <c r="B17" i="36"/>
  <c r="B43" i="36"/>
  <c r="B4" i="36"/>
  <c r="D24" i="7"/>
  <c r="D26" i="7" s="1"/>
  <c r="F24" i="7"/>
  <c r="F26" i="7" s="1"/>
  <c r="H24" i="7"/>
  <c r="H26" i="7" s="1"/>
  <c r="E24" i="7"/>
  <c r="E26" i="7" s="1"/>
  <c r="I24" i="7"/>
  <c r="I26" i="7" s="1"/>
  <c r="K24" i="7"/>
  <c r="K26" i="7" s="1"/>
  <c r="K23" i="7"/>
  <c r="J55" i="7"/>
  <c r="K54" i="7" s="1"/>
  <c r="G24" i="7"/>
  <c r="G26" i="7" s="1"/>
  <c r="C26" i="7"/>
  <c r="C25" i="7" s="1"/>
  <c r="C16" i="8" s="1"/>
  <c r="C18" i="8" s="1"/>
  <c r="L33" i="18"/>
  <c r="L34" i="18"/>
  <c r="K7" i="5"/>
  <c r="L6" i="7"/>
  <c r="L12" i="7"/>
  <c r="J45" i="4"/>
  <c r="J8" i="5"/>
  <c r="J16" i="5" s="1"/>
  <c r="J5" i="5"/>
  <c r="H8" i="5"/>
  <c r="B8" i="5"/>
  <c r="E33" i="18"/>
  <c r="D45" i="4"/>
  <c r="G33" i="18"/>
  <c r="F45" i="4"/>
  <c r="D33" i="18"/>
  <c r="C45" i="4"/>
  <c r="C33" i="18"/>
  <c r="F33" i="18"/>
  <c r="E45" i="4"/>
  <c r="F13" i="4"/>
  <c r="G52" i="18" s="1"/>
  <c r="E14" i="4"/>
  <c r="E6" i="12" s="1"/>
  <c r="H24" i="4"/>
  <c r="H42" i="4"/>
  <c r="G24" i="4"/>
  <c r="G42" i="4"/>
  <c r="K15" i="5" l="1"/>
  <c r="J31" i="5"/>
  <c r="B16" i="5"/>
  <c r="I5" i="5"/>
  <c r="I6" i="5" s="1"/>
  <c r="I3" i="6" s="1"/>
  <c r="H16" i="5"/>
  <c r="K5" i="39"/>
  <c r="K10" i="39" s="1"/>
  <c r="K12" i="39" s="1"/>
  <c r="K40" i="10"/>
  <c r="D5" i="39"/>
  <c r="D10" i="39" s="1"/>
  <c r="D12" i="39" s="1"/>
  <c r="D40" i="10"/>
  <c r="E5" i="39"/>
  <c r="E10" i="39" s="1"/>
  <c r="E12" i="39" s="1"/>
  <c r="E40" i="10"/>
  <c r="F5" i="39"/>
  <c r="F10" i="39" s="1"/>
  <c r="F12" i="39" s="1"/>
  <c r="F40" i="10"/>
  <c r="G5" i="39"/>
  <c r="G10" i="39" s="1"/>
  <c r="G12" i="39" s="1"/>
  <c r="G40" i="10"/>
  <c r="J6" i="5"/>
  <c r="J3" i="6" s="1"/>
  <c r="J10" i="39"/>
  <c r="J12" i="39" s="1"/>
  <c r="J7" i="39"/>
  <c r="E4" i="36"/>
  <c r="E43" i="36"/>
  <c r="E30" i="36"/>
  <c r="E17" i="36"/>
  <c r="B6" i="5"/>
  <c r="B3" i="6" s="1"/>
  <c r="L24" i="7"/>
  <c r="L26" i="7" s="1"/>
  <c r="L55" i="7" s="1"/>
  <c r="H23" i="7"/>
  <c r="H25" i="7" s="1"/>
  <c r="H16" i="8" s="1"/>
  <c r="H18" i="8" s="1"/>
  <c r="G55" i="7"/>
  <c r="H54" i="7" s="1"/>
  <c r="L23" i="7"/>
  <c r="K55" i="7"/>
  <c r="L54" i="7" s="1"/>
  <c r="F23" i="7"/>
  <c r="F25" i="7" s="1"/>
  <c r="F16" i="8" s="1"/>
  <c r="F18" i="8" s="1"/>
  <c r="E55" i="7"/>
  <c r="F54" i="7" s="1"/>
  <c r="G23" i="7"/>
  <c r="G25" i="7" s="1"/>
  <c r="G16" i="8" s="1"/>
  <c r="G18" i="8" s="1"/>
  <c r="F55" i="7"/>
  <c r="G54" i="7" s="1"/>
  <c r="J23" i="7"/>
  <c r="J25" i="7" s="1"/>
  <c r="J16" i="8" s="1"/>
  <c r="J18" i="8" s="1"/>
  <c r="I55" i="7"/>
  <c r="J54" i="7" s="1"/>
  <c r="I23" i="7"/>
  <c r="I25" i="7" s="1"/>
  <c r="I16" i="8" s="1"/>
  <c r="I18" i="8" s="1"/>
  <c r="H55" i="7"/>
  <c r="I54" i="7" s="1"/>
  <c r="E23" i="7"/>
  <c r="E25" i="7" s="1"/>
  <c r="E16" i="8" s="1"/>
  <c r="E18" i="8" s="1"/>
  <c r="D55" i="7"/>
  <c r="E54" i="7" s="1"/>
  <c r="K25" i="7"/>
  <c r="K16" i="8" s="1"/>
  <c r="K18" i="8" s="1"/>
  <c r="D23" i="7"/>
  <c r="D25" i="7" s="1"/>
  <c r="D16" i="8" s="1"/>
  <c r="D18" i="8" s="1"/>
  <c r="C55" i="7"/>
  <c r="D54" i="7" s="1"/>
  <c r="K45" i="4"/>
  <c r="K32" i="10"/>
  <c r="K31" i="10"/>
  <c r="K38" i="10"/>
  <c r="K36" i="18"/>
  <c r="J41" i="15"/>
  <c r="I19" i="12"/>
  <c r="J30" i="5"/>
  <c r="J18" i="12" s="1"/>
  <c r="K5" i="5"/>
  <c r="K8" i="5"/>
  <c r="C5" i="5"/>
  <c r="D5" i="5"/>
  <c r="D6" i="5" s="1"/>
  <c r="D3" i="6" s="1"/>
  <c r="G5" i="5"/>
  <c r="G6" i="5" s="1"/>
  <c r="G3" i="6" s="1"/>
  <c r="E5" i="5"/>
  <c r="E6" i="5" s="1"/>
  <c r="E3" i="6" s="1"/>
  <c r="F5" i="5"/>
  <c r="F6" i="5" s="1"/>
  <c r="F3" i="6" s="1"/>
  <c r="H5" i="5"/>
  <c r="H6" i="5" s="1"/>
  <c r="H3" i="6" s="1"/>
  <c r="H9" i="6" s="1"/>
  <c r="H11" i="23"/>
  <c r="J24" i="16"/>
  <c r="G11" i="23"/>
  <c r="I24" i="16"/>
  <c r="H33" i="18"/>
  <c r="G45" i="4"/>
  <c r="I33" i="18"/>
  <c r="H45" i="4"/>
  <c r="G38" i="10"/>
  <c r="G32" i="10"/>
  <c r="G36" i="18"/>
  <c r="G31" i="10"/>
  <c r="F36" i="18"/>
  <c r="F38" i="10"/>
  <c r="F32" i="10"/>
  <c r="F31" i="10"/>
  <c r="D38" i="10"/>
  <c r="D32" i="10"/>
  <c r="D36" i="18"/>
  <c r="D31" i="10"/>
  <c r="E36" i="18"/>
  <c r="E32" i="10"/>
  <c r="E38" i="10"/>
  <c r="E31" i="10"/>
  <c r="H52" i="18"/>
  <c r="F14" i="4"/>
  <c r="F6" i="12" s="1"/>
  <c r="C13" i="7"/>
  <c r="C8" i="8" s="1"/>
  <c r="C10" i="8" s="1"/>
  <c r="C7" i="7"/>
  <c r="C4" i="8" s="1"/>
  <c r="C19" i="7"/>
  <c r="C12" i="8" s="1"/>
  <c r="C14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L40" i="10" l="1"/>
  <c r="I9" i="6"/>
  <c r="I16" i="12" s="1"/>
  <c r="K23" i="16" s="1"/>
  <c r="D11" i="6"/>
  <c r="D9" i="6"/>
  <c r="F11" i="6"/>
  <c r="F9" i="6"/>
  <c r="F6" i="23" s="1"/>
  <c r="J9" i="6"/>
  <c r="J16" i="12" s="1"/>
  <c r="L23" i="16" s="1"/>
  <c r="G11" i="6"/>
  <c r="G9" i="6"/>
  <c r="G16" i="12" s="1"/>
  <c r="E11" i="6"/>
  <c r="E9" i="6"/>
  <c r="E16" i="12" s="1"/>
  <c r="C15" i="5"/>
  <c r="I15" i="5"/>
  <c r="H31" i="5"/>
  <c r="I30" i="5" s="1"/>
  <c r="I18" i="12" s="1"/>
  <c r="K16" i="5"/>
  <c r="K31" i="5" s="1"/>
  <c r="K19" i="12" s="1"/>
  <c r="F7" i="39"/>
  <c r="E8" i="12" s="1"/>
  <c r="I8" i="12"/>
  <c r="I18" i="36" s="1"/>
  <c r="D7" i="39"/>
  <c r="C8" i="12" s="1"/>
  <c r="K7" i="39"/>
  <c r="J8" i="12" s="1"/>
  <c r="G7" i="39"/>
  <c r="F8" i="12" s="1"/>
  <c r="E7" i="39"/>
  <c r="D8" i="12" s="1"/>
  <c r="H5" i="39"/>
  <c r="H7" i="39" s="1"/>
  <c r="H40" i="10"/>
  <c r="I5" i="39"/>
  <c r="I10" i="39" s="1"/>
  <c r="I12" i="39" s="1"/>
  <c r="I40" i="10"/>
  <c r="C6" i="5"/>
  <c r="C3" i="6" s="1"/>
  <c r="C39" i="10"/>
  <c r="L32" i="10"/>
  <c r="L5" i="39"/>
  <c r="L25" i="7"/>
  <c r="L16" i="8" s="1"/>
  <c r="L18" i="8" s="1"/>
  <c r="F4" i="36"/>
  <c r="F17" i="36"/>
  <c r="F43" i="36"/>
  <c r="F30" i="36"/>
  <c r="K6" i="5"/>
  <c r="K3" i="6" s="1"/>
  <c r="K9" i="6" s="1"/>
  <c r="B11" i="6"/>
  <c r="L36" i="18"/>
  <c r="L38" i="10"/>
  <c r="L31" i="10"/>
  <c r="K41" i="15"/>
  <c r="J19" i="12"/>
  <c r="K30" i="5"/>
  <c r="K18" i="12" s="1"/>
  <c r="H41" i="15"/>
  <c r="G19" i="12"/>
  <c r="H30" i="5"/>
  <c r="H18" i="12" s="1"/>
  <c r="E41" i="15"/>
  <c r="D19" i="12"/>
  <c r="E30" i="5"/>
  <c r="E18" i="12" s="1"/>
  <c r="F30" i="5"/>
  <c r="F18" i="12" s="1"/>
  <c r="F41" i="15"/>
  <c r="E19" i="12"/>
  <c r="G30" i="5"/>
  <c r="G18" i="12" s="1"/>
  <c r="F19" i="12"/>
  <c r="G41" i="15"/>
  <c r="H11" i="6"/>
  <c r="D30" i="5"/>
  <c r="D18" i="12" s="1"/>
  <c r="C19" i="12"/>
  <c r="D41" i="15"/>
  <c r="E24" i="16"/>
  <c r="B11" i="23"/>
  <c r="D24" i="16"/>
  <c r="I36" i="18"/>
  <c r="I38" i="10"/>
  <c r="I32" i="10"/>
  <c r="I31" i="10"/>
  <c r="H38" i="10"/>
  <c r="H32" i="10"/>
  <c r="H36" i="18"/>
  <c r="H31" i="10"/>
  <c r="C6" i="8"/>
  <c r="G14" i="4"/>
  <c r="G6" i="12" s="1"/>
  <c r="D17" i="7"/>
  <c r="C51" i="7"/>
  <c r="D50" i="7" s="1"/>
  <c r="D11" i="7"/>
  <c r="C47" i="7"/>
  <c r="C43" i="7"/>
  <c r="D5" i="7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L41" i="15" l="1"/>
  <c r="D13" i="6"/>
  <c r="D17" i="6" s="1"/>
  <c r="D46" i="7"/>
  <c r="J21" i="12"/>
  <c r="J48" i="36" s="1"/>
  <c r="I21" i="12"/>
  <c r="I48" i="36" s="1"/>
  <c r="I41" i="15"/>
  <c r="H19" i="12"/>
  <c r="E6" i="23"/>
  <c r="I44" i="36"/>
  <c r="I31" i="36"/>
  <c r="I5" i="36"/>
  <c r="G13" i="6"/>
  <c r="G17" i="6" s="1"/>
  <c r="G6" i="23"/>
  <c r="I7" i="39"/>
  <c r="H8" i="12" s="1"/>
  <c r="F13" i="6"/>
  <c r="F17" i="6" s="1"/>
  <c r="F16" i="12"/>
  <c r="F21" i="12" s="1"/>
  <c r="H10" i="39"/>
  <c r="H12" i="39" s="1"/>
  <c r="G8" i="12" s="1"/>
  <c r="D16" i="12"/>
  <c r="D21" i="12" s="1"/>
  <c r="D6" i="23"/>
  <c r="F31" i="36"/>
  <c r="F5" i="36"/>
  <c r="F44" i="36"/>
  <c r="F18" i="36"/>
  <c r="J31" i="36"/>
  <c r="J5" i="36"/>
  <c r="J44" i="36"/>
  <c r="J18" i="36"/>
  <c r="C31" i="36"/>
  <c r="C44" i="36"/>
  <c r="C18" i="36"/>
  <c r="C5" i="36"/>
  <c r="D44" i="36"/>
  <c r="D18" i="36"/>
  <c r="D31" i="36"/>
  <c r="D5" i="36"/>
  <c r="E44" i="36"/>
  <c r="E18" i="36"/>
  <c r="E31" i="36"/>
  <c r="E5" i="36"/>
  <c r="C11" i="6"/>
  <c r="D14" i="7"/>
  <c r="D13" i="7" s="1"/>
  <c r="D8" i="8" s="1"/>
  <c r="D10" i="8" s="1"/>
  <c r="D20" i="7"/>
  <c r="D8" i="7"/>
  <c r="L10" i="39"/>
  <c r="L12" i="39" s="1"/>
  <c r="L7" i="39"/>
  <c r="E13" i="6"/>
  <c r="E17" i="6" s="1"/>
  <c r="G17" i="36"/>
  <c r="G43" i="36"/>
  <c r="G30" i="36"/>
  <c r="G4" i="36"/>
  <c r="I52" i="18"/>
  <c r="K16" i="12"/>
  <c r="H13" i="6"/>
  <c r="H17" i="6" s="1"/>
  <c r="G21" i="12"/>
  <c r="I23" i="16"/>
  <c r="E21" i="12"/>
  <c r="G23" i="16"/>
  <c r="H6" i="23"/>
  <c r="H16" i="12"/>
  <c r="H14" i="4"/>
  <c r="H6" i="12" s="1"/>
  <c r="D42" i="7"/>
  <c r="P16" i="3"/>
  <c r="P17" i="3" s="1"/>
  <c r="Q15" i="3" s="1"/>
  <c r="D6" i="3"/>
  <c r="C7" i="3"/>
  <c r="P6" i="3"/>
  <c r="P7" i="3" s="1"/>
  <c r="H23" i="16" l="1"/>
  <c r="J9" i="36"/>
  <c r="J22" i="36"/>
  <c r="J35" i="36"/>
  <c r="I22" i="36"/>
  <c r="I9" i="36"/>
  <c r="I35" i="36"/>
  <c r="F23" i="16"/>
  <c r="H44" i="36"/>
  <c r="H18" i="36"/>
  <c r="H31" i="36"/>
  <c r="H5" i="36"/>
  <c r="G5" i="36"/>
  <c r="G44" i="36"/>
  <c r="G18" i="36"/>
  <c r="G31" i="36"/>
  <c r="E5" i="7"/>
  <c r="D43" i="7"/>
  <c r="D7" i="7"/>
  <c r="D4" i="8" s="1"/>
  <c r="D47" i="7"/>
  <c r="E11" i="7"/>
  <c r="E14" i="7" s="1"/>
  <c r="F11" i="7" s="1"/>
  <c r="D51" i="7"/>
  <c r="E50" i="7" s="1"/>
  <c r="E17" i="7"/>
  <c r="D19" i="7"/>
  <c r="D12" i="8" s="1"/>
  <c r="D14" i="8" s="1"/>
  <c r="K8" i="12"/>
  <c r="H43" i="36"/>
  <c r="H30" i="36"/>
  <c r="H17" i="36"/>
  <c r="D9" i="36"/>
  <c r="D35" i="36"/>
  <c r="D48" i="36"/>
  <c r="D22" i="36"/>
  <c r="G9" i="36"/>
  <c r="G35" i="36"/>
  <c r="G48" i="36"/>
  <c r="G22" i="36"/>
  <c r="E35" i="36"/>
  <c r="E9" i="36"/>
  <c r="E48" i="36"/>
  <c r="E22" i="36"/>
  <c r="F48" i="36"/>
  <c r="F22" i="36"/>
  <c r="F35" i="36"/>
  <c r="F9" i="36"/>
  <c r="H4" i="36"/>
  <c r="M23" i="16"/>
  <c r="K21" i="12"/>
  <c r="J52" i="18"/>
  <c r="I14" i="4"/>
  <c r="I6" i="12" s="1"/>
  <c r="J23" i="16"/>
  <c r="H21" i="12"/>
  <c r="Q16" i="3"/>
  <c r="Q17" i="3" s="1"/>
  <c r="R15" i="3" s="1"/>
  <c r="Q5" i="3"/>
  <c r="E6" i="3"/>
  <c r="D5" i="3"/>
  <c r="E42" i="7" l="1"/>
  <c r="E47" i="7"/>
  <c r="K44" i="36"/>
  <c r="K18" i="36"/>
  <c r="K31" i="36"/>
  <c r="K5" i="36"/>
  <c r="E13" i="7"/>
  <c r="E8" i="8" s="1"/>
  <c r="E10" i="8" s="1"/>
  <c r="E20" i="7"/>
  <c r="E19" i="7" s="1"/>
  <c r="E12" i="8" s="1"/>
  <c r="E14" i="8" s="1"/>
  <c r="D39" i="10"/>
  <c r="D6" i="8"/>
  <c r="E46" i="7"/>
  <c r="E8" i="7"/>
  <c r="F14" i="7"/>
  <c r="I43" i="36"/>
  <c r="I30" i="36"/>
  <c r="I17" i="36"/>
  <c r="H9" i="36"/>
  <c r="H35" i="36"/>
  <c r="H48" i="36"/>
  <c r="H22" i="36"/>
  <c r="K22" i="36"/>
  <c r="K9" i="36"/>
  <c r="K48" i="36"/>
  <c r="K35" i="36"/>
  <c r="I4" i="36"/>
  <c r="K52" i="18"/>
  <c r="J14" i="4"/>
  <c r="J6" i="12" s="1"/>
  <c r="F6" i="3"/>
  <c r="R16" i="3"/>
  <c r="R17" i="3" s="1"/>
  <c r="S15" i="3" s="1"/>
  <c r="D7" i="3"/>
  <c r="Q6" i="3"/>
  <c r="F46" i="7" l="1"/>
  <c r="F17" i="7"/>
  <c r="E51" i="7"/>
  <c r="F50" i="7" s="1"/>
  <c r="E43" i="7"/>
  <c r="F5" i="7"/>
  <c r="E7" i="7"/>
  <c r="E4" i="8" s="1"/>
  <c r="F47" i="7"/>
  <c r="G11" i="7"/>
  <c r="F13" i="7"/>
  <c r="F8" i="8" s="1"/>
  <c r="J17" i="36"/>
  <c r="J43" i="36"/>
  <c r="J30" i="36"/>
  <c r="J4" i="36"/>
  <c r="L52" i="18"/>
  <c r="K14" i="4"/>
  <c r="K6" i="12" s="1"/>
  <c r="S16" i="3"/>
  <c r="S17" i="3" s="1"/>
  <c r="T15" i="3" s="1"/>
  <c r="E5" i="3"/>
  <c r="G6" i="3"/>
  <c r="Q7" i="3"/>
  <c r="F42" i="7" l="1"/>
  <c r="E6" i="8"/>
  <c r="E39" i="10"/>
  <c r="F20" i="7"/>
  <c r="F19" i="7" s="1"/>
  <c r="F12" i="8" s="1"/>
  <c r="F14" i="8" s="1"/>
  <c r="F8" i="7"/>
  <c r="G14" i="7"/>
  <c r="G13" i="7" s="1"/>
  <c r="G8" i="8" s="1"/>
  <c r="G46" i="7"/>
  <c r="F10" i="8"/>
  <c r="K17" i="36"/>
  <c r="K43" i="36"/>
  <c r="K30" i="36"/>
  <c r="K4" i="36"/>
  <c r="T16" i="3"/>
  <c r="T17" i="3" s="1"/>
  <c r="U15" i="3" s="1"/>
  <c r="R5" i="3"/>
  <c r="E7" i="3"/>
  <c r="H6" i="3"/>
  <c r="G17" i="7" l="1"/>
  <c r="F51" i="7"/>
  <c r="F43" i="7"/>
  <c r="G5" i="7"/>
  <c r="F7" i="7"/>
  <c r="F4" i="8" s="1"/>
  <c r="G10" i="8"/>
  <c r="H11" i="7"/>
  <c r="G47" i="7"/>
  <c r="R6" i="3"/>
  <c r="I6" i="3"/>
  <c r="J6" i="3" s="1"/>
  <c r="U16" i="3"/>
  <c r="U17" i="3" s="1"/>
  <c r="V15" i="3" s="1"/>
  <c r="F5" i="3"/>
  <c r="G50" i="7" l="1"/>
  <c r="G42" i="7"/>
  <c r="F39" i="10"/>
  <c r="F6" i="8"/>
  <c r="G20" i="7"/>
  <c r="G19" i="7" s="1"/>
  <c r="G12" i="8" s="1"/>
  <c r="G14" i="8" s="1"/>
  <c r="G8" i="7"/>
  <c r="H14" i="7"/>
  <c r="H46" i="7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G43" i="7"/>
  <c r="H5" i="7"/>
  <c r="H8" i="7" s="1"/>
  <c r="H17" i="7"/>
  <c r="G51" i="7"/>
  <c r="G7" i="7"/>
  <c r="G4" i="8" s="1"/>
  <c r="I11" i="7"/>
  <c r="H47" i="7"/>
  <c r="H13" i="7"/>
  <c r="H8" i="8" s="1"/>
  <c r="L6" i="3"/>
  <c r="G5" i="3"/>
  <c r="S6" i="3"/>
  <c r="S7" i="3" s="1"/>
  <c r="H50" i="7" l="1"/>
  <c r="H7" i="7"/>
  <c r="H4" i="8" s="1"/>
  <c r="H43" i="7"/>
  <c r="I5" i="7"/>
  <c r="H20" i="7"/>
  <c r="H42" i="7"/>
  <c r="G39" i="10"/>
  <c r="G6" i="8"/>
  <c r="H10" i="8"/>
  <c r="I14" i="7"/>
  <c r="I13" i="7" s="1"/>
  <c r="I8" i="8" s="1"/>
  <c r="I10" i="8" s="1"/>
  <c r="I46" i="7"/>
  <c r="T5" i="3"/>
  <c r="G7" i="3"/>
  <c r="I42" i="7" l="1"/>
  <c r="I8" i="7"/>
  <c r="I7" i="7" s="1"/>
  <c r="I4" i="8" s="1"/>
  <c r="H51" i="7"/>
  <c r="I17" i="7"/>
  <c r="I20" i="7" s="1"/>
  <c r="H19" i="7"/>
  <c r="H12" i="8" s="1"/>
  <c r="H14" i="8" s="1"/>
  <c r="H6" i="8"/>
  <c r="J11" i="7"/>
  <c r="I47" i="7"/>
  <c r="T6" i="3"/>
  <c r="H5" i="3"/>
  <c r="H39" i="10" l="1"/>
  <c r="I50" i="7"/>
  <c r="I19" i="7"/>
  <c r="I12" i="8" s="1"/>
  <c r="I14" i="8" s="1"/>
  <c r="I51" i="7"/>
  <c r="J50" i="7" s="1"/>
  <c r="J17" i="7"/>
  <c r="I6" i="8"/>
  <c r="J5" i="7"/>
  <c r="I43" i="7"/>
  <c r="J46" i="7"/>
  <c r="J14" i="7"/>
  <c r="J13" i="7" s="1"/>
  <c r="J8" i="8" s="1"/>
  <c r="J10" i="8" s="1"/>
  <c r="H7" i="3"/>
  <c r="T7" i="3"/>
  <c r="J42" i="7" l="1"/>
  <c r="J20" i="7"/>
  <c r="J19" i="7" s="1"/>
  <c r="J12" i="8" s="1"/>
  <c r="J14" i="8" s="1"/>
  <c r="J8" i="7"/>
  <c r="I39" i="10"/>
  <c r="J47" i="7"/>
  <c r="K11" i="7"/>
  <c r="I5" i="3"/>
  <c r="U5" i="3"/>
  <c r="K5" i="7" l="1"/>
  <c r="K8" i="7" s="1"/>
  <c r="J43" i="7"/>
  <c r="J7" i="7"/>
  <c r="J4" i="8" s="1"/>
  <c r="K17" i="7"/>
  <c r="J51" i="7"/>
  <c r="K50" i="7" s="1"/>
  <c r="K14" i="7"/>
  <c r="K46" i="7"/>
  <c r="U6" i="3"/>
  <c r="I7" i="3"/>
  <c r="J5" i="3" s="1"/>
  <c r="K42" i="7" l="1"/>
  <c r="J39" i="10"/>
  <c r="J6" i="8"/>
  <c r="K20" i="7"/>
  <c r="K19" i="7" s="1"/>
  <c r="K12" i="8" s="1"/>
  <c r="K14" i="8" s="1"/>
  <c r="K7" i="7"/>
  <c r="K4" i="8" s="1"/>
  <c r="K43" i="7"/>
  <c r="L5" i="7"/>
  <c r="L8" i="7" s="1"/>
  <c r="L43" i="7" s="1"/>
  <c r="K47" i="7"/>
  <c r="L11" i="7"/>
  <c r="K13" i="7"/>
  <c r="K8" i="8" s="1"/>
  <c r="J7" i="3"/>
  <c r="U7" i="3"/>
  <c r="L42" i="7" l="1"/>
  <c r="L7" i="7"/>
  <c r="L4" i="8" s="1"/>
  <c r="L6" i="8" s="1"/>
  <c r="K39" i="10"/>
  <c r="K6" i="8"/>
  <c r="K51" i="7"/>
  <c r="L50" i="7" s="1"/>
  <c r="L17" i="7"/>
  <c r="K10" i="8"/>
  <c r="L14" i="7"/>
  <c r="L47" i="7" s="1"/>
  <c r="L46" i="7"/>
  <c r="K5" i="3"/>
  <c r="V5" i="3"/>
  <c r="L13" i="7" l="1"/>
  <c r="L8" i="8" s="1"/>
  <c r="L10" i="8" s="1"/>
  <c r="L20" i="7"/>
  <c r="L51" i="7" s="1"/>
  <c r="K7" i="3"/>
  <c r="V6" i="3"/>
  <c r="L19" i="7" l="1"/>
  <c r="L12" i="8" s="1"/>
  <c r="L14" i="8" s="1"/>
  <c r="L5" i="3"/>
  <c r="V7" i="3"/>
  <c r="W5" i="3" s="1"/>
  <c r="L39" i="10" l="1"/>
  <c r="W6" i="3"/>
  <c r="L7" i="3"/>
  <c r="E6" i="1"/>
  <c r="W7" i="3" l="1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l="1"/>
  <c r="C22" i="10"/>
  <c r="X6" i="3"/>
  <c r="X7" i="3" s="1"/>
  <c r="B8" i="14"/>
  <c r="D23" i="10"/>
  <c r="D10" i="3"/>
  <c r="C21" i="3"/>
  <c r="C30" i="15" s="1"/>
  <c r="D11" i="3"/>
  <c r="C20" i="3"/>
  <c r="P19" i="3"/>
  <c r="P11" i="3"/>
  <c r="D22" i="10" l="1"/>
  <c r="E22" i="10" s="1"/>
  <c r="F22" i="10" s="1"/>
  <c r="G22" i="10" s="1"/>
  <c r="H22" i="10" s="1"/>
  <c r="I22" i="10" s="1"/>
  <c r="J22" i="10" s="1"/>
  <c r="K22" i="10" s="1"/>
  <c r="L22" i="10" s="1"/>
  <c r="C27" i="10"/>
  <c r="B23" i="12" s="1"/>
  <c r="B10" i="36" s="1"/>
  <c r="Y5" i="3"/>
  <c r="C6" i="31"/>
  <c r="C9" i="30"/>
  <c r="C8" i="29"/>
  <c r="C53" i="17"/>
  <c r="C40" i="17"/>
  <c r="C7" i="17"/>
  <c r="D32" i="15"/>
  <c r="C8" i="14"/>
  <c r="B32" i="12"/>
  <c r="C29" i="15"/>
  <c r="E23" i="10"/>
  <c r="D12" i="3"/>
  <c r="D19" i="3"/>
  <c r="D28" i="15" s="1"/>
  <c r="P12" i="3"/>
  <c r="P20" i="3"/>
  <c r="B7" i="14" s="1"/>
  <c r="E11" i="3"/>
  <c r="D20" i="3"/>
  <c r="D27" i="10" l="1"/>
  <c r="C23" i="12" s="1"/>
  <c r="E27" i="10"/>
  <c r="B23" i="36"/>
  <c r="B36" i="17"/>
  <c r="B5" i="23"/>
  <c r="B49" i="36"/>
  <c r="D21" i="16"/>
  <c r="B36" i="36"/>
  <c r="Y6" i="3"/>
  <c r="Y7" i="3" s="1"/>
  <c r="D6" i="31"/>
  <c r="D9" i="30"/>
  <c r="D8" i="29"/>
  <c r="B7" i="29"/>
  <c r="B8" i="30"/>
  <c r="B5" i="31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F11" i="3"/>
  <c r="E20" i="3"/>
  <c r="E10" i="3"/>
  <c r="D21" i="3"/>
  <c r="D30" i="15" s="1"/>
  <c r="Q10" i="3"/>
  <c r="P21" i="3"/>
  <c r="C10" i="36" l="1"/>
  <c r="C23" i="36"/>
  <c r="C49" i="36"/>
  <c r="C36" i="36"/>
  <c r="E21" i="16"/>
  <c r="E6" i="31"/>
  <c r="E9" i="30"/>
  <c r="E8" i="29"/>
  <c r="C8" i="30"/>
  <c r="C5" i="31"/>
  <c r="C7" i="29"/>
  <c r="C36" i="17"/>
  <c r="C5" i="23"/>
  <c r="D23" i="12"/>
  <c r="F32" i="15"/>
  <c r="E53" i="17"/>
  <c r="E40" i="17"/>
  <c r="E7" i="17"/>
  <c r="C39" i="17"/>
  <c r="C5" i="17"/>
  <c r="C51" i="17"/>
  <c r="E8" i="14"/>
  <c r="E29" i="15"/>
  <c r="D32" i="12"/>
  <c r="G23" i="10"/>
  <c r="G27" i="10" s="1"/>
  <c r="C6" i="14"/>
  <c r="Q11" i="3"/>
  <c r="Q20" i="3" s="1"/>
  <c r="C7" i="14" s="1"/>
  <c r="Q19" i="3"/>
  <c r="G11" i="3"/>
  <c r="F20" i="3"/>
  <c r="E12" i="3"/>
  <c r="E19" i="3"/>
  <c r="E28" i="15" s="1"/>
  <c r="D10" i="36" l="1"/>
  <c r="D49" i="36"/>
  <c r="D36" i="36"/>
  <c r="D23" i="36"/>
  <c r="D36" i="17"/>
  <c r="F6" i="31"/>
  <c r="F9" i="30"/>
  <c r="F8" i="29"/>
  <c r="D8" i="30"/>
  <c r="D5" i="31"/>
  <c r="D7" i="29"/>
  <c r="F21" i="16"/>
  <c r="D5" i="23"/>
  <c r="E23" i="12"/>
  <c r="G32" i="15"/>
  <c r="F53" i="17"/>
  <c r="F40" i="17"/>
  <c r="F7" i="17"/>
  <c r="D5" i="17"/>
  <c r="D51" i="17"/>
  <c r="D39" i="17"/>
  <c r="F8" i="14"/>
  <c r="H23" i="10"/>
  <c r="H27" i="10" s="1"/>
  <c r="E32" i="12"/>
  <c r="F29" i="15"/>
  <c r="D6" i="14"/>
  <c r="H11" i="3"/>
  <c r="G20" i="3"/>
  <c r="Q12" i="3"/>
  <c r="F10" i="3"/>
  <c r="E21" i="3"/>
  <c r="E30" i="15" s="1"/>
  <c r="E10" i="36" l="1"/>
  <c r="E49" i="36"/>
  <c r="E36" i="36"/>
  <c r="E23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F23" i="12"/>
  <c r="G23" i="12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10" i="36" l="1"/>
  <c r="F49" i="36"/>
  <c r="F36" i="36"/>
  <c r="F23" i="36"/>
  <c r="G10" i="36"/>
  <c r="G23" i="36"/>
  <c r="G49" i="36"/>
  <c r="G36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10" i="36" l="1"/>
  <c r="H49" i="36"/>
  <c r="H36" i="36"/>
  <c r="H23" i="36"/>
  <c r="H32" i="12"/>
  <c r="H7" i="29" s="1"/>
  <c r="K23" i="10"/>
  <c r="J27" i="10"/>
  <c r="I23" i="12" s="1"/>
  <c r="K11" i="3"/>
  <c r="J20" i="3"/>
  <c r="G5" i="31"/>
  <c r="G8" i="30"/>
  <c r="G7" i="29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8" i="30" l="1"/>
  <c r="H39" i="17"/>
  <c r="I10" i="36"/>
  <c r="I49" i="36"/>
  <c r="I36" i="36"/>
  <c r="I23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10" i="36" l="1"/>
  <c r="J49" i="36"/>
  <c r="J36" i="36"/>
  <c r="J23" i="36"/>
  <c r="K10" i="36"/>
  <c r="K23" i="36"/>
  <c r="K49" i="36"/>
  <c r="K36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35" i="10" l="1"/>
  <c r="C23" i="9"/>
  <c r="D30" i="10" s="1"/>
  <c r="D35" i="10" l="1"/>
  <c r="D23" i="9"/>
  <c r="E30" i="10" s="1"/>
  <c r="E35" i="10" l="1"/>
  <c r="E23" i="9"/>
  <c r="F30" i="10" s="1"/>
  <c r="D42" i="10"/>
  <c r="C25" i="12" s="1"/>
  <c r="C50" i="36" l="1"/>
  <c r="C37" i="36"/>
  <c r="C24" i="36"/>
  <c r="F35" i="10"/>
  <c r="F23" i="9"/>
  <c r="G30" i="10" s="1"/>
  <c r="C4" i="23"/>
  <c r="C8" i="23" s="1"/>
  <c r="E22" i="16"/>
  <c r="C11" i="36"/>
  <c r="E42" i="10"/>
  <c r="D25" i="12" s="1"/>
  <c r="E22" i="15" s="1"/>
  <c r="F42" i="10" l="1"/>
  <c r="E25" i="12" s="1"/>
  <c r="F22" i="15" s="1"/>
  <c r="D50" i="36"/>
  <c r="D51" i="36" s="1"/>
  <c r="D37" i="36"/>
  <c r="D38" i="36" s="1"/>
  <c r="D24" i="36"/>
  <c r="D25" i="36" s="1"/>
  <c r="G35" i="10"/>
  <c r="G23" i="9"/>
  <c r="H30" i="10" s="1"/>
  <c r="D11" i="36"/>
  <c r="D12" i="36" s="1"/>
  <c r="D4" i="23"/>
  <c r="D8" i="23" s="1"/>
  <c r="D4" i="35"/>
  <c r="F22" i="16"/>
  <c r="E4" i="23" l="1"/>
  <c r="E8" i="23" s="1"/>
  <c r="G22" i="16"/>
  <c r="E4" i="35"/>
  <c r="E37" i="36"/>
  <c r="E38" i="36" s="1"/>
  <c r="E50" i="36"/>
  <c r="E51" i="36" s="1"/>
  <c r="E11" i="36"/>
  <c r="E12" i="36" s="1"/>
  <c r="E24" i="36"/>
  <c r="E25" i="36" s="1"/>
  <c r="G42" i="10"/>
  <c r="F25" i="12" s="1"/>
  <c r="G22" i="15" s="1"/>
  <c r="G10" i="16"/>
  <c r="F6" i="11"/>
  <c r="E6" i="11"/>
  <c r="H35" i="10"/>
  <c r="H23" i="9"/>
  <c r="I30" i="10" s="1"/>
  <c r="F4" i="35" l="1"/>
  <c r="F4" i="23"/>
  <c r="F8" i="23" s="1"/>
  <c r="F50" i="36"/>
  <c r="F51" i="36" s="1"/>
  <c r="H42" i="10"/>
  <c r="G25" i="12" s="1"/>
  <c r="H22" i="15" s="1"/>
  <c r="H22" i="16"/>
  <c r="F24" i="36"/>
  <c r="F25" i="36" s="1"/>
  <c r="F11" i="36"/>
  <c r="F12" i="36" s="1"/>
  <c r="F37" i="36"/>
  <c r="F38" i="36" s="1"/>
  <c r="I35" i="10"/>
  <c r="I23" i="9"/>
  <c r="J30" i="10" s="1"/>
  <c r="H10" i="16"/>
  <c r="G6" i="11"/>
  <c r="I22" i="16" l="1"/>
  <c r="G11" i="36"/>
  <c r="G12" i="36" s="1"/>
  <c r="G37" i="36"/>
  <c r="G38" i="36" s="1"/>
  <c r="G4" i="35"/>
  <c r="G50" i="36"/>
  <c r="G51" i="36" s="1"/>
  <c r="G4" i="23"/>
  <c r="G8" i="23" s="1"/>
  <c r="G24" i="36"/>
  <c r="G25" i="36" s="1"/>
  <c r="I42" i="10"/>
  <c r="H25" i="12" s="1"/>
  <c r="I22" i="15" s="1"/>
  <c r="J35" i="10"/>
  <c r="J23" i="9"/>
  <c r="K30" i="10" s="1"/>
  <c r="I10" i="16"/>
  <c r="H6" i="11"/>
  <c r="H4" i="23" l="1"/>
  <c r="H8" i="23" s="1"/>
  <c r="J22" i="16"/>
  <c r="H37" i="36"/>
  <c r="H38" i="36" s="1"/>
  <c r="H50" i="36"/>
  <c r="H51" i="36" s="1"/>
  <c r="H11" i="36"/>
  <c r="H12" i="36" s="1"/>
  <c r="H24" i="36"/>
  <c r="H25" i="36" s="1"/>
  <c r="J42" i="10"/>
  <c r="I25" i="12" s="1"/>
  <c r="J22" i="15" s="1"/>
  <c r="J10" i="16"/>
  <c r="I6" i="11"/>
  <c r="K35" i="10"/>
  <c r="K23" i="9"/>
  <c r="L30" i="10" s="1"/>
  <c r="K42" i="10" l="1"/>
  <c r="J25" i="12" s="1"/>
  <c r="K22" i="15" s="1"/>
  <c r="I24" i="36"/>
  <c r="I25" i="36" s="1"/>
  <c r="I50" i="36"/>
  <c r="I51" i="36" s="1"/>
  <c r="I37" i="36"/>
  <c r="I38" i="36" s="1"/>
  <c r="I11" i="36"/>
  <c r="I12" i="36" s="1"/>
  <c r="K22" i="16"/>
  <c r="L35" i="10"/>
  <c r="J11" i="36" l="1"/>
  <c r="J12" i="36" s="1"/>
  <c r="J37" i="36"/>
  <c r="J38" i="36" s="1"/>
  <c r="J50" i="36"/>
  <c r="J51" i="36" s="1"/>
  <c r="J24" i="36"/>
  <c r="J25" i="36" s="1"/>
  <c r="L22" i="16"/>
  <c r="L42" i="10"/>
  <c r="K25" i="12" s="1"/>
  <c r="L22" i="15" s="1"/>
  <c r="L10" i="16"/>
  <c r="K6" i="11"/>
  <c r="K10" i="16"/>
  <c r="J6" i="11"/>
  <c r="K50" i="36" l="1"/>
  <c r="K51" i="36" s="1"/>
  <c r="K37" i="36"/>
  <c r="K38" i="36" s="1"/>
  <c r="K24" i="36"/>
  <c r="K25" i="36" s="1"/>
  <c r="K11" i="36"/>
  <c r="K12" i="36" s="1"/>
  <c r="M22" i="16"/>
  <c r="M10" i="16" l="1"/>
  <c r="L6" i="11"/>
  <c r="B29" i="38" l="1"/>
  <c r="B21" i="5" l="1"/>
  <c r="B34" i="4"/>
  <c r="C64" i="7" s="1"/>
  <c r="B37" i="4"/>
  <c r="C82" i="7" s="1"/>
  <c r="B36" i="4"/>
  <c r="C76" i="7" s="1"/>
  <c r="B38" i="4"/>
  <c r="C88" i="7" s="1"/>
  <c r="B35" i="4"/>
  <c r="C70" i="7" s="1"/>
  <c r="B43" i="4"/>
  <c r="C84" i="7" l="1"/>
  <c r="C83" i="7" s="1"/>
  <c r="C37" i="8" s="1"/>
  <c r="C39" i="8" s="1"/>
  <c r="C78" i="7"/>
  <c r="C77" i="7" s="1"/>
  <c r="C33" i="8" s="1"/>
  <c r="C35" i="8" s="1"/>
  <c r="C72" i="7"/>
  <c r="C71" i="7" s="1"/>
  <c r="C29" i="8" s="1"/>
  <c r="C31" i="8" s="1"/>
  <c r="C66" i="7"/>
  <c r="C65" i="7" s="1"/>
  <c r="C25" i="8" s="1"/>
  <c r="C27" i="8" s="1"/>
  <c r="C34" i="18"/>
  <c r="B45" i="4"/>
  <c r="C90" i="7"/>
  <c r="C89" i="7" s="1"/>
  <c r="C41" i="8" s="1"/>
  <c r="C43" i="8" s="1"/>
  <c r="B22" i="5"/>
  <c r="B20" i="5" s="1"/>
  <c r="B6" i="6" s="1"/>
  <c r="B9" i="6" s="1"/>
  <c r="C30" i="10" l="1"/>
  <c r="C38" i="10"/>
  <c r="C45" i="8"/>
  <c r="B5" i="12" s="1"/>
  <c r="B16" i="36" s="1"/>
  <c r="C109" i="7"/>
  <c r="D108" i="7" s="1"/>
  <c r="D75" i="7"/>
  <c r="B16" i="12"/>
  <c r="D23" i="16" s="1"/>
  <c r="B6" i="23"/>
  <c r="B13" i="6"/>
  <c r="B17" i="6" s="1"/>
  <c r="C117" i="7"/>
  <c r="D116" i="7" s="1"/>
  <c r="D87" i="7"/>
  <c r="D89" i="7" s="1"/>
  <c r="D41" i="8" s="1"/>
  <c r="D43" i="8" s="1"/>
  <c r="D63" i="7"/>
  <c r="C101" i="7"/>
  <c r="C31" i="10"/>
  <c r="C40" i="10"/>
  <c r="C36" i="18"/>
  <c r="C32" i="10"/>
  <c r="C5" i="39"/>
  <c r="B28" i="5"/>
  <c r="C19" i="5"/>
  <c r="C20" i="5" s="1"/>
  <c r="C6" i="6" s="1"/>
  <c r="C9" i="6" s="1"/>
  <c r="D69" i="7"/>
  <c r="C105" i="7"/>
  <c r="D104" i="7" s="1"/>
  <c r="C113" i="7"/>
  <c r="D112" i="7" s="1"/>
  <c r="D81" i="7"/>
  <c r="D83" i="7" s="1"/>
  <c r="D37" i="8" s="1"/>
  <c r="D39" i="8" s="1"/>
  <c r="B42" i="36" l="1"/>
  <c r="B3" i="36"/>
  <c r="B29" i="36"/>
  <c r="D72" i="7"/>
  <c r="D71" i="7" s="1"/>
  <c r="D29" i="8" s="1"/>
  <c r="D31" i="8" s="1"/>
  <c r="D78" i="7"/>
  <c r="D77" i="7" s="1"/>
  <c r="D33" i="8" s="1"/>
  <c r="D35" i="8" s="1"/>
  <c r="C10" i="39"/>
  <c r="C12" i="39" s="1"/>
  <c r="C7" i="39"/>
  <c r="C27" i="5"/>
  <c r="B31" i="5"/>
  <c r="D100" i="7"/>
  <c r="D122" i="7" s="1"/>
  <c r="C11" i="12" s="1"/>
  <c r="C123" i="7"/>
  <c r="C16" i="12"/>
  <c r="C13" i="6"/>
  <c r="C17" i="6" s="1"/>
  <c r="C6" i="23"/>
  <c r="C42" i="10"/>
  <c r="B25" i="12" s="1"/>
  <c r="D66" i="7"/>
  <c r="B19" i="12" l="1"/>
  <c r="B21" i="12" s="1"/>
  <c r="C41" i="15"/>
  <c r="C30" i="5"/>
  <c r="C18" i="12" s="1"/>
  <c r="C21" i="12" s="1"/>
  <c r="E23" i="16"/>
  <c r="D22" i="15"/>
  <c r="E75" i="7"/>
  <c r="D109" i="7"/>
  <c r="E108" i="7" s="1"/>
  <c r="D101" i="7"/>
  <c r="E63" i="7"/>
  <c r="E66" i="7" s="1"/>
  <c r="C22" i="15"/>
  <c r="B50" i="36"/>
  <c r="B24" i="36"/>
  <c r="D22" i="16"/>
  <c r="B4" i="23"/>
  <c r="B8" i="23" s="1"/>
  <c r="B11" i="36"/>
  <c r="B37" i="36"/>
  <c r="B9" i="23"/>
  <c r="C40" i="15"/>
  <c r="B12" i="12"/>
  <c r="B8" i="12"/>
  <c r="D65" i="7"/>
  <c r="D25" i="8" s="1"/>
  <c r="D27" i="8" s="1"/>
  <c r="D45" i="8" s="1"/>
  <c r="C5" i="12" s="1"/>
  <c r="E69" i="7"/>
  <c r="D105" i="7"/>
  <c r="E104" i="7" s="1"/>
  <c r="B12" i="23" l="1"/>
  <c r="B14" i="23" s="1"/>
  <c r="B16" i="23" s="1"/>
  <c r="C9" i="36"/>
  <c r="C12" i="36" s="1"/>
  <c r="C48" i="36"/>
  <c r="C51" i="36" s="1"/>
  <c r="C22" i="36"/>
  <c r="C25" i="36" s="1"/>
  <c r="C35" i="36"/>
  <c r="C38" i="36" s="1"/>
  <c r="C4" i="35"/>
  <c r="C43" i="15"/>
  <c r="C5" i="11"/>
  <c r="C6" i="11"/>
  <c r="D10" i="16"/>
  <c r="E78" i="7"/>
  <c r="E77" i="7" s="1"/>
  <c r="E33" i="8" s="1"/>
  <c r="E35" i="8" s="1"/>
  <c r="C42" i="36"/>
  <c r="C29" i="36"/>
  <c r="C3" i="36"/>
  <c r="C9" i="12"/>
  <c r="C16" i="36"/>
  <c r="E65" i="7"/>
  <c r="E25" i="8" s="1"/>
  <c r="E27" i="8" s="1"/>
  <c r="E101" i="7"/>
  <c r="F63" i="7"/>
  <c r="F66" i="7" s="1"/>
  <c r="E10" i="16"/>
  <c r="D6" i="11"/>
  <c r="F10" i="16"/>
  <c r="B6" i="36"/>
  <c r="B32" i="36"/>
  <c r="B45" i="36"/>
  <c r="B19" i="36"/>
  <c r="E72" i="7"/>
  <c r="E71" i="7" s="1"/>
  <c r="E29" i="8" s="1"/>
  <c r="E31" i="8" s="1"/>
  <c r="B31" i="36"/>
  <c r="B5" i="36"/>
  <c r="B18" i="36"/>
  <c r="B44" i="36"/>
  <c r="B9" i="12"/>
  <c r="E100" i="7"/>
  <c r="E122" i="7" s="1"/>
  <c r="D11" i="12" s="1"/>
  <c r="D123" i="7"/>
  <c r="B9" i="36"/>
  <c r="B12" i="36" s="1"/>
  <c r="B35" i="36"/>
  <c r="B38" i="36" s="1"/>
  <c r="B48" i="36"/>
  <c r="B51" i="36" s="1"/>
  <c r="B22" i="36"/>
  <c r="B25" i="36" s="1"/>
  <c r="B4" i="35"/>
  <c r="B20" i="36" l="1"/>
  <c r="B26" i="36" s="1"/>
  <c r="F100" i="7"/>
  <c r="B7" i="36"/>
  <c r="B13" i="36" s="1"/>
  <c r="E5" i="16"/>
  <c r="D36" i="15"/>
  <c r="C2" i="35"/>
  <c r="C5" i="35" s="1"/>
  <c r="C12" i="12"/>
  <c r="C14" i="12" s="1"/>
  <c r="C9" i="23"/>
  <c r="C12" i="23" s="1"/>
  <c r="C14" i="23" s="1"/>
  <c r="C16" i="23" s="1"/>
  <c r="D40" i="15"/>
  <c r="B46" i="36"/>
  <c r="B52" i="36" s="1"/>
  <c r="E45" i="8"/>
  <c r="D5" i="12" s="1"/>
  <c r="F75" i="7"/>
  <c r="E109" i="7"/>
  <c r="F108" i="7" s="1"/>
  <c r="F65" i="7"/>
  <c r="F25" i="8" s="1"/>
  <c r="F27" i="8" s="1"/>
  <c r="F101" i="7"/>
  <c r="G63" i="7"/>
  <c r="C36" i="15"/>
  <c r="D5" i="16"/>
  <c r="B2" i="35"/>
  <c r="B5" i="35" s="1"/>
  <c r="B14" i="12"/>
  <c r="F69" i="7"/>
  <c r="E105" i="7"/>
  <c r="F104" i="7" s="1"/>
  <c r="B33" i="36"/>
  <c r="B39" i="36" s="1"/>
  <c r="F72" i="7" l="1"/>
  <c r="F71" i="7" s="1"/>
  <c r="F29" i="8" s="1"/>
  <c r="F31" i="8" s="1"/>
  <c r="D43" i="15"/>
  <c r="D5" i="11"/>
  <c r="C3" i="35"/>
  <c r="C29" i="12"/>
  <c r="G100" i="7"/>
  <c r="B3" i="35"/>
  <c r="B29" i="12"/>
  <c r="D4" i="11"/>
  <c r="E28" i="16"/>
  <c r="F122" i="7"/>
  <c r="E11" i="12" s="1"/>
  <c r="D28" i="16"/>
  <c r="C4" i="11"/>
  <c r="F78" i="7"/>
  <c r="F77" i="7" s="1"/>
  <c r="F33" i="8" s="1"/>
  <c r="F35" i="8" s="1"/>
  <c r="G66" i="7"/>
  <c r="G65" i="7" s="1"/>
  <c r="G25" i="8" s="1"/>
  <c r="G27" i="8" s="1"/>
  <c r="D16" i="36"/>
  <c r="D42" i="36"/>
  <c r="D9" i="12"/>
  <c r="D29" i="36"/>
  <c r="D3" i="36"/>
  <c r="C45" i="36"/>
  <c r="C46" i="36" s="1"/>
  <c r="C52" i="36" s="1"/>
  <c r="C19" i="36"/>
  <c r="C20" i="36" s="1"/>
  <c r="C26" i="36" s="1"/>
  <c r="C32" i="36"/>
  <c r="C33" i="36" s="1"/>
  <c r="C39" i="36" s="1"/>
  <c r="C6" i="36"/>
  <c r="C7" i="36" s="1"/>
  <c r="C13" i="36" s="1"/>
  <c r="E123" i="7"/>
  <c r="F45" i="8" l="1"/>
  <c r="E5" i="12" s="1"/>
  <c r="C11" i="11"/>
  <c r="C8" i="11"/>
  <c r="H63" i="7"/>
  <c r="G101" i="7"/>
  <c r="B6" i="35"/>
  <c r="D11" i="11"/>
  <c r="D8" i="11"/>
  <c r="E36" i="15"/>
  <c r="D2" i="35"/>
  <c r="D5" i="35" s="1"/>
  <c r="F5" i="16"/>
  <c r="D12" i="12"/>
  <c r="D14" i="12" s="1"/>
  <c r="E40" i="15"/>
  <c r="D9" i="23"/>
  <c r="D12" i="23" s="1"/>
  <c r="D14" i="23" s="1"/>
  <c r="D16" i="23" s="1"/>
  <c r="C6" i="35"/>
  <c r="G75" i="7"/>
  <c r="F109" i="7"/>
  <c r="G108" i="7" s="1"/>
  <c r="G69" i="7"/>
  <c r="F105" i="7"/>
  <c r="G78" i="7" l="1"/>
  <c r="G77" i="7" s="1"/>
  <c r="G33" i="8" s="1"/>
  <c r="G35" i="8" s="1"/>
  <c r="G104" i="7"/>
  <c r="G122" i="7" s="1"/>
  <c r="F11" i="12" s="1"/>
  <c r="F123" i="7"/>
  <c r="D45" i="36"/>
  <c r="D46" i="36" s="1"/>
  <c r="D52" i="36" s="1"/>
  <c r="D6" i="36"/>
  <c r="D7" i="36" s="1"/>
  <c r="D13" i="36" s="1"/>
  <c r="D32" i="36"/>
  <c r="D33" i="36" s="1"/>
  <c r="D39" i="36" s="1"/>
  <c r="D19" i="36"/>
  <c r="D20" i="36" s="1"/>
  <c r="D26" i="36" s="1"/>
  <c r="E4" i="11"/>
  <c r="F28" i="16"/>
  <c r="H66" i="7"/>
  <c r="H65" i="7" s="1"/>
  <c r="H25" i="8" s="1"/>
  <c r="H27" i="8" s="1"/>
  <c r="G72" i="7"/>
  <c r="G71" i="7" s="1"/>
  <c r="G29" i="8" s="1"/>
  <c r="G31" i="8" s="1"/>
  <c r="D13" i="11"/>
  <c r="D15" i="11" s="1"/>
  <c r="C13" i="11"/>
  <c r="C15" i="11" s="1"/>
  <c r="E5" i="11"/>
  <c r="E43" i="15"/>
  <c r="D3" i="35"/>
  <c r="D29" i="12"/>
  <c r="H100" i="7"/>
  <c r="E16" i="36"/>
  <c r="E3" i="36"/>
  <c r="E42" i="36"/>
  <c r="E29" i="36"/>
  <c r="E9" i="12"/>
  <c r="G45" i="8" l="1"/>
  <c r="F5" i="12" s="1"/>
  <c r="B31" i="12"/>
  <c r="C21" i="15"/>
  <c r="D8" i="16" s="1"/>
  <c r="D12" i="16" s="1"/>
  <c r="H101" i="7"/>
  <c r="I63" i="7"/>
  <c r="C31" i="12"/>
  <c r="D21" i="15"/>
  <c r="E12" i="12"/>
  <c r="E14" i="12" s="1"/>
  <c r="F40" i="15"/>
  <c r="E9" i="23"/>
  <c r="E12" i="23" s="1"/>
  <c r="E14" i="23" s="1"/>
  <c r="E16" i="23" s="1"/>
  <c r="D6" i="35"/>
  <c r="F36" i="15"/>
  <c r="G5" i="16"/>
  <c r="E2" i="35"/>
  <c r="E5" i="35" s="1"/>
  <c r="E15" i="1"/>
  <c r="E17" i="1" s="1"/>
  <c r="B13" i="2"/>
  <c r="H69" i="7"/>
  <c r="G105" i="7"/>
  <c r="E11" i="11"/>
  <c r="E8" i="11"/>
  <c r="H75" i="7"/>
  <c r="G109" i="7"/>
  <c r="H108" i="7" s="1"/>
  <c r="E8" i="16" l="1"/>
  <c r="E12" i="16" s="1"/>
  <c r="E3" i="35"/>
  <c r="E29" i="12"/>
  <c r="E13" i="11"/>
  <c r="E15" i="11" s="1"/>
  <c r="E27" i="16"/>
  <c r="C38" i="17"/>
  <c r="C30" i="17" s="1"/>
  <c r="C34" i="12"/>
  <c r="H104" i="7"/>
  <c r="H122" i="7" s="1"/>
  <c r="G11" i="12" s="1"/>
  <c r="G123" i="7"/>
  <c r="G28" i="16"/>
  <c r="F4" i="11"/>
  <c r="F43" i="15"/>
  <c r="F5" i="11"/>
  <c r="I66" i="7"/>
  <c r="I65" i="7" s="1"/>
  <c r="I25" i="8" s="1"/>
  <c r="I27" i="8" s="1"/>
  <c r="D27" i="16"/>
  <c r="B38" i="17"/>
  <c r="B30" i="17" s="1"/>
  <c r="B34" i="12"/>
  <c r="B15" i="2"/>
  <c r="C13" i="2" s="1"/>
  <c r="C40" i="20"/>
  <c r="E13" i="2"/>
  <c r="E15" i="2" s="1"/>
  <c r="H78" i="7"/>
  <c r="H77" i="7" s="1"/>
  <c r="H33" i="8" s="1"/>
  <c r="H35" i="8" s="1"/>
  <c r="H72" i="7"/>
  <c r="H71" i="7" s="1"/>
  <c r="H29" i="8" s="1"/>
  <c r="H31" i="8" s="1"/>
  <c r="E6" i="36"/>
  <c r="E7" i="36" s="1"/>
  <c r="E13" i="36" s="1"/>
  <c r="E32" i="36"/>
  <c r="E33" i="36" s="1"/>
  <c r="E39" i="36" s="1"/>
  <c r="E19" i="36"/>
  <c r="E20" i="36" s="1"/>
  <c r="E26" i="36" s="1"/>
  <c r="E45" i="36"/>
  <c r="E46" i="36" s="1"/>
  <c r="E52" i="36" s="1"/>
  <c r="I100" i="7"/>
  <c r="F9" i="12"/>
  <c r="F42" i="36"/>
  <c r="F16" i="36"/>
  <c r="F29" i="36"/>
  <c r="F3" i="36"/>
  <c r="I75" i="7" l="1"/>
  <c r="H109" i="7"/>
  <c r="I108" i="7" s="1"/>
  <c r="C15" i="2"/>
  <c r="C8" i="2"/>
  <c r="B16" i="29"/>
  <c r="C5" i="2"/>
  <c r="C10" i="2"/>
  <c r="C6" i="2"/>
  <c r="C7" i="2"/>
  <c r="B19" i="30"/>
  <c r="C9" i="2"/>
  <c r="B23" i="2"/>
  <c r="C12" i="2"/>
  <c r="C11" i="2"/>
  <c r="B20" i="2"/>
  <c r="B19" i="2" s="1"/>
  <c r="B20" i="17"/>
  <c r="F8" i="11"/>
  <c r="F11" i="11"/>
  <c r="C5" i="14"/>
  <c r="C9" i="14" s="1"/>
  <c r="C7" i="35"/>
  <c r="D31" i="12"/>
  <c r="E21" i="15"/>
  <c r="F8" i="16" s="1"/>
  <c r="F12" i="16" s="1"/>
  <c r="H45" i="8"/>
  <c r="G5" i="12" s="1"/>
  <c r="B5" i="14"/>
  <c r="B9" i="14" s="1"/>
  <c r="B7" i="35"/>
  <c r="I101" i="7"/>
  <c r="J63" i="7"/>
  <c r="E6" i="35"/>
  <c r="G36" i="15"/>
  <c r="F2" i="35"/>
  <c r="F5" i="35" s="1"/>
  <c r="H5" i="16"/>
  <c r="I69" i="7"/>
  <c r="H105" i="7"/>
  <c r="G40" i="15"/>
  <c r="F9" i="23"/>
  <c r="F12" i="23" s="1"/>
  <c r="F14" i="23" s="1"/>
  <c r="F16" i="23" s="1"/>
  <c r="F12" i="12"/>
  <c r="F14" i="12" s="1"/>
  <c r="G9" i="12" l="1"/>
  <c r="G3" i="36"/>
  <c r="G42" i="36"/>
  <c r="G29" i="36"/>
  <c r="G16" i="36"/>
  <c r="C19" i="2"/>
  <c r="B7" i="15"/>
  <c r="C7" i="15"/>
  <c r="I78" i="7"/>
  <c r="I77" i="7" s="1"/>
  <c r="I33" i="8" s="1"/>
  <c r="I35" i="8" s="1"/>
  <c r="I104" i="7"/>
  <c r="I122" i="7" s="1"/>
  <c r="H11" i="12" s="1"/>
  <c r="H123" i="7"/>
  <c r="B20" i="28"/>
  <c r="A24" i="28" s="1"/>
  <c r="B26" i="29"/>
  <c r="B23" i="30"/>
  <c r="C23" i="2"/>
  <c r="C21" i="2"/>
  <c r="B13" i="34"/>
  <c r="O16" i="34" s="1"/>
  <c r="B9" i="34"/>
  <c r="M16" i="34" s="1"/>
  <c r="G43" i="15"/>
  <c r="G5" i="11"/>
  <c r="F6" i="36"/>
  <c r="F7" i="36" s="1"/>
  <c r="F13" i="36" s="1"/>
  <c r="F19" i="36"/>
  <c r="F20" i="36" s="1"/>
  <c r="F26" i="36" s="1"/>
  <c r="F32" i="36"/>
  <c r="F33" i="36" s="1"/>
  <c r="F39" i="36" s="1"/>
  <c r="F45" i="36"/>
  <c r="F46" i="36" s="1"/>
  <c r="F52" i="36" s="1"/>
  <c r="I72" i="7"/>
  <c r="I71" i="7" s="1"/>
  <c r="I29" i="8" s="1"/>
  <c r="I31" i="8" s="1"/>
  <c r="H28" i="16"/>
  <c r="G4" i="11"/>
  <c r="F13" i="11"/>
  <c r="F15" i="11" s="1"/>
  <c r="C20" i="2"/>
  <c r="B13" i="15"/>
  <c r="F3" i="35"/>
  <c r="F29" i="12"/>
  <c r="J100" i="7"/>
  <c r="J66" i="7"/>
  <c r="J65" i="7" s="1"/>
  <c r="J25" i="8" s="1"/>
  <c r="J27" i="8" s="1"/>
  <c r="B11" i="14"/>
  <c r="C10" i="14" s="1"/>
  <c r="C11" i="14" s="1"/>
  <c r="D10" i="14" s="1"/>
  <c r="F27" i="16"/>
  <c r="D38" i="17"/>
  <c r="D30" i="17" s="1"/>
  <c r="D34" i="12"/>
  <c r="B12" i="14" l="1"/>
  <c r="B13" i="14" s="1"/>
  <c r="B35" i="12" s="1"/>
  <c r="D30" i="16" s="1"/>
  <c r="D32" i="16" s="1"/>
  <c r="D33" i="16" s="1"/>
  <c r="I45" i="8"/>
  <c r="H5" i="12" s="1"/>
  <c r="H9" i="12" s="1"/>
  <c r="C13" i="15"/>
  <c r="D13" i="15" s="1"/>
  <c r="C9" i="16"/>
  <c r="D7" i="15"/>
  <c r="C9" i="15"/>
  <c r="B13" i="33" s="1"/>
  <c r="B29" i="33" s="1"/>
  <c r="C7" i="16"/>
  <c r="B9" i="15"/>
  <c r="B24" i="15" s="1"/>
  <c r="D5" i="14"/>
  <c r="D9" i="14" s="1"/>
  <c r="D7" i="35"/>
  <c r="C12" i="14"/>
  <c r="C13" i="14" s="1"/>
  <c r="C35" i="12" s="1"/>
  <c r="G8" i="11"/>
  <c r="G11" i="11"/>
  <c r="H40" i="15"/>
  <c r="G12" i="12"/>
  <c r="G14" i="12" s="1"/>
  <c r="G9" i="23"/>
  <c r="G12" i="23" s="1"/>
  <c r="G14" i="23" s="1"/>
  <c r="G16" i="23" s="1"/>
  <c r="F6" i="35"/>
  <c r="E31" i="12"/>
  <c r="F21" i="15"/>
  <c r="G8" i="16" s="1"/>
  <c r="G12" i="16" s="1"/>
  <c r="K63" i="7"/>
  <c r="J101" i="7"/>
  <c r="J69" i="7"/>
  <c r="I105" i="7"/>
  <c r="J75" i="7"/>
  <c r="I109" i="7"/>
  <c r="J108" i="7" s="1"/>
  <c r="H36" i="15"/>
  <c r="G2" i="35"/>
  <c r="G5" i="35" s="1"/>
  <c r="I5" i="16"/>
  <c r="H29" i="36" l="1"/>
  <c r="H42" i="36"/>
  <c r="B36" i="12"/>
  <c r="B50" i="17" s="1"/>
  <c r="B55" i="17" s="1"/>
  <c r="B58" i="17" s="1"/>
  <c r="B60" i="17" s="1"/>
  <c r="H16" i="36"/>
  <c r="H3" i="36"/>
  <c r="G45" i="36"/>
  <c r="G46" i="36" s="1"/>
  <c r="G52" i="36" s="1"/>
  <c r="G19" i="36"/>
  <c r="G20" i="36" s="1"/>
  <c r="G26" i="36" s="1"/>
  <c r="G32" i="36"/>
  <c r="G33" i="36" s="1"/>
  <c r="G39" i="36" s="1"/>
  <c r="G6" i="36"/>
  <c r="G7" i="36" s="1"/>
  <c r="G13" i="36" s="1"/>
  <c r="D11" i="14"/>
  <c r="E10" i="14" s="1"/>
  <c r="J78" i="7"/>
  <c r="J77" i="7" s="1"/>
  <c r="J33" i="8" s="1"/>
  <c r="J35" i="8" s="1"/>
  <c r="K66" i="7"/>
  <c r="K65" i="7" s="1"/>
  <c r="K25" i="8" s="1"/>
  <c r="K27" i="8" s="1"/>
  <c r="H5" i="11"/>
  <c r="H43" i="15"/>
  <c r="E13" i="15"/>
  <c r="G3" i="35"/>
  <c r="G29" i="12"/>
  <c r="J104" i="7"/>
  <c r="J122" i="7" s="1"/>
  <c r="I11" i="12" s="1"/>
  <c r="I123" i="7"/>
  <c r="G13" i="11"/>
  <c r="G15" i="11" s="1"/>
  <c r="J5" i="16"/>
  <c r="I36" i="15"/>
  <c r="C12" i="16"/>
  <c r="C33" i="16" s="1"/>
  <c r="C35" i="16" s="1"/>
  <c r="E7" i="15"/>
  <c r="D9" i="15"/>
  <c r="C13" i="33" s="1"/>
  <c r="C29" i="33" s="1"/>
  <c r="K100" i="7"/>
  <c r="C36" i="12"/>
  <c r="E30" i="16"/>
  <c r="E32" i="16" s="1"/>
  <c r="E33" i="16" s="1"/>
  <c r="H4" i="11"/>
  <c r="I28" i="16"/>
  <c r="J72" i="7"/>
  <c r="J71" i="7" s="1"/>
  <c r="J29" i="8" s="1"/>
  <c r="J31" i="8" s="1"/>
  <c r="E38" i="17"/>
  <c r="E30" i="17" s="1"/>
  <c r="G27" i="16"/>
  <c r="E34" i="12"/>
  <c r="B8" i="35" l="1"/>
  <c r="B3" i="17"/>
  <c r="B11" i="17" s="1"/>
  <c r="B15" i="17" s="1"/>
  <c r="B5" i="29"/>
  <c r="B10" i="29" s="1"/>
  <c r="B13" i="29" s="1"/>
  <c r="B41" i="12"/>
  <c r="C41" i="12" s="1"/>
  <c r="D4" i="26"/>
  <c r="D5" i="26" s="1"/>
  <c r="D12" i="26" s="1"/>
  <c r="B12" i="28" s="1"/>
  <c r="B13" i="28" s="1"/>
  <c r="B29" i="17"/>
  <c r="B33" i="17" s="1"/>
  <c r="B42" i="17" s="1"/>
  <c r="C18" i="15"/>
  <c r="C19" i="15" s="1"/>
  <c r="B30" i="33" s="1"/>
  <c r="B32" i="33" s="1"/>
  <c r="B34" i="33" s="1"/>
  <c r="B6" i="34"/>
  <c r="B4" i="31"/>
  <c r="B12" i="31" s="1"/>
  <c r="B16" i="31" s="1"/>
  <c r="B6" i="30"/>
  <c r="B11" i="30" s="1"/>
  <c r="B15" i="30" s="1"/>
  <c r="D12" i="14"/>
  <c r="D13" i="14" s="1"/>
  <c r="D35" i="12" s="1"/>
  <c r="D36" i="12" s="1"/>
  <c r="G21" i="15"/>
  <c r="H8" i="16" s="1"/>
  <c r="H12" i="16" s="1"/>
  <c r="F31" i="12"/>
  <c r="I4" i="11"/>
  <c r="J28" i="16"/>
  <c r="G6" i="35"/>
  <c r="J45" i="8"/>
  <c r="I5" i="12" s="1"/>
  <c r="I40" i="15"/>
  <c r="H9" i="23"/>
  <c r="H12" i="23" s="1"/>
  <c r="H14" i="23" s="1"/>
  <c r="H16" i="23" s="1"/>
  <c r="H12" i="12"/>
  <c r="K75" i="7"/>
  <c r="J109" i="7"/>
  <c r="K108" i="7" s="1"/>
  <c r="H8" i="11"/>
  <c r="H11" i="11"/>
  <c r="K69" i="7"/>
  <c r="J105" i="7"/>
  <c r="C29" i="17"/>
  <c r="C33" i="17" s="1"/>
  <c r="C42" i="17" s="1"/>
  <c r="C6" i="30"/>
  <c r="C11" i="30" s="1"/>
  <c r="C15" i="30" s="1"/>
  <c r="C50" i="17"/>
  <c r="C55" i="17" s="1"/>
  <c r="C58" i="17" s="1"/>
  <c r="C6" i="34"/>
  <c r="D18" i="15"/>
  <c r="C8" i="35"/>
  <c r="C3" i="17"/>
  <c r="C11" i="17" s="1"/>
  <c r="C15" i="17" s="1"/>
  <c r="E4" i="26"/>
  <c r="E5" i="26" s="1"/>
  <c r="C4" i="31"/>
  <c r="C5" i="29"/>
  <c r="C10" i="29" s="1"/>
  <c r="E9" i="15"/>
  <c r="D13" i="33" s="1"/>
  <c r="D29" i="33" s="1"/>
  <c r="F7" i="15"/>
  <c r="E7" i="35"/>
  <c r="E5" i="14"/>
  <c r="E9" i="14" s="1"/>
  <c r="E11" i="14" s="1"/>
  <c r="F10" i="14" s="1"/>
  <c r="D13" i="26"/>
  <c r="B9" i="28" s="1"/>
  <c r="B10" i="28" s="1"/>
  <c r="D34" i="16"/>
  <c r="D35" i="16" s="1"/>
  <c r="B47" i="15"/>
  <c r="F13" i="15"/>
  <c r="K101" i="7"/>
  <c r="L63" i="7"/>
  <c r="B23" i="29" l="1"/>
  <c r="B14" i="31"/>
  <c r="B17" i="31" s="1"/>
  <c r="D16" i="15"/>
  <c r="D19" i="15" s="1"/>
  <c r="B14" i="33"/>
  <c r="B16" i="33" s="1"/>
  <c r="B18" i="33" s="1"/>
  <c r="C24" i="15"/>
  <c r="F30" i="16"/>
  <c r="F32" i="16" s="1"/>
  <c r="F33" i="16" s="1"/>
  <c r="L66" i="7"/>
  <c r="L101" i="7" s="1"/>
  <c r="B50" i="15"/>
  <c r="B52" i="15" s="1"/>
  <c r="C37" i="16"/>
  <c r="C39" i="16" s="1"/>
  <c r="E12" i="14"/>
  <c r="E13" i="14" s="1"/>
  <c r="E35" i="12" s="1"/>
  <c r="E12" i="26"/>
  <c r="C12" i="28" s="1"/>
  <c r="C13" i="28" s="1"/>
  <c r="E13" i="26"/>
  <c r="C9" i="28" s="1"/>
  <c r="C10" i="28" s="1"/>
  <c r="K104" i="7"/>
  <c r="K122" i="7" s="1"/>
  <c r="J11" i="12" s="1"/>
  <c r="J123" i="7"/>
  <c r="I43" i="15"/>
  <c r="I5" i="11"/>
  <c r="I8" i="11" s="1"/>
  <c r="C14" i="31"/>
  <c r="C12" i="31"/>
  <c r="L100" i="7"/>
  <c r="E34" i="16"/>
  <c r="E35" i="16" s="1"/>
  <c r="C47" i="15"/>
  <c r="B16" i="28"/>
  <c r="F9" i="15"/>
  <c r="E13" i="33" s="1"/>
  <c r="E29" i="33" s="1"/>
  <c r="G7" i="15"/>
  <c r="D41" i="12"/>
  <c r="K72" i="7"/>
  <c r="K78" i="7"/>
  <c r="K77" i="7" s="1"/>
  <c r="K33" i="8" s="1"/>
  <c r="K35" i="8" s="1"/>
  <c r="I3" i="36"/>
  <c r="I29" i="36"/>
  <c r="I9" i="12"/>
  <c r="I42" i="36"/>
  <c r="I16" i="36"/>
  <c r="H27" i="16"/>
  <c r="F38" i="17"/>
  <c r="F30" i="17" s="1"/>
  <c r="F34" i="12"/>
  <c r="G13" i="15"/>
  <c r="H13" i="15" s="1"/>
  <c r="I13" i="15" s="1"/>
  <c r="J13" i="15" s="1"/>
  <c r="K13" i="15" s="1"/>
  <c r="L13" i="15" s="1"/>
  <c r="D29" i="17"/>
  <c r="D33" i="17" s="1"/>
  <c r="D42" i="17" s="1"/>
  <c r="D6" i="34"/>
  <c r="D4" i="31"/>
  <c r="E18" i="15"/>
  <c r="D3" i="17"/>
  <c r="D11" i="17" s="1"/>
  <c r="D8" i="35"/>
  <c r="D6" i="30"/>
  <c r="D11" i="30" s="1"/>
  <c r="D15" i="30" s="1"/>
  <c r="D50" i="17"/>
  <c r="D55" i="17" s="1"/>
  <c r="D58" i="17" s="1"/>
  <c r="D5" i="29"/>
  <c r="D10" i="29" s="1"/>
  <c r="F4" i="26"/>
  <c r="F5" i="26" s="1"/>
  <c r="C13" i="29"/>
  <c r="C23" i="29"/>
  <c r="H13" i="11"/>
  <c r="H15" i="11" s="1"/>
  <c r="H19" i="36"/>
  <c r="H20" i="36" s="1"/>
  <c r="H26" i="36" s="1"/>
  <c r="H6" i="36"/>
  <c r="H7" i="36" s="1"/>
  <c r="H13" i="36" s="1"/>
  <c r="H32" i="36"/>
  <c r="H33" i="36" s="1"/>
  <c r="H39" i="36" s="1"/>
  <c r="H45" i="36"/>
  <c r="H46" i="36" s="1"/>
  <c r="H52" i="36" s="1"/>
  <c r="H14" i="12"/>
  <c r="H29" i="12" s="1"/>
  <c r="I11" i="11" l="1"/>
  <c r="I13" i="11" s="1"/>
  <c r="I15" i="11" s="1"/>
  <c r="F13" i="26"/>
  <c r="D9" i="28" s="1"/>
  <c r="D10" i="28" s="1"/>
  <c r="F12" i="26"/>
  <c r="D12" i="28" s="1"/>
  <c r="D13" i="28" s="1"/>
  <c r="C50" i="15"/>
  <c r="C52" i="15" s="1"/>
  <c r="D37" i="16"/>
  <c r="D39" i="16" s="1"/>
  <c r="J40" i="15"/>
  <c r="I12" i="12"/>
  <c r="D14" i="31"/>
  <c r="D12" i="31"/>
  <c r="B18" i="28"/>
  <c r="B24" i="28"/>
  <c r="D23" i="29"/>
  <c r="D13" i="29"/>
  <c r="D15" i="17"/>
  <c r="J36" i="15"/>
  <c r="K5" i="16"/>
  <c r="L75" i="7"/>
  <c r="L78" i="7" s="1"/>
  <c r="K109" i="7"/>
  <c r="L108" i="7" s="1"/>
  <c r="G9" i="15"/>
  <c r="F13" i="33" s="1"/>
  <c r="F29" i="33" s="1"/>
  <c r="H7" i="15"/>
  <c r="F34" i="16"/>
  <c r="F35" i="16" s="1"/>
  <c r="D47" i="15"/>
  <c r="G30" i="16"/>
  <c r="G32" i="16" s="1"/>
  <c r="G33" i="16" s="1"/>
  <c r="E36" i="12"/>
  <c r="E41" i="12" s="1"/>
  <c r="L65" i="7"/>
  <c r="L25" i="8" s="1"/>
  <c r="L27" i="8" s="1"/>
  <c r="G31" i="12"/>
  <c r="H21" i="15"/>
  <c r="I8" i="16" s="1"/>
  <c r="I12" i="16" s="1"/>
  <c r="L69" i="7"/>
  <c r="L72" i="7" s="1"/>
  <c r="K105" i="7"/>
  <c r="C30" i="33"/>
  <c r="C32" i="33" s="1"/>
  <c r="C34" i="33" s="1"/>
  <c r="E16" i="15"/>
  <c r="E19" i="15" s="1"/>
  <c r="D24" i="15"/>
  <c r="C14" i="33"/>
  <c r="C16" i="33" s="1"/>
  <c r="C18" i="33" s="1"/>
  <c r="F7" i="35"/>
  <c r="F5" i="14"/>
  <c r="F9" i="14" s="1"/>
  <c r="K71" i="7"/>
  <c r="K29" i="8" s="1"/>
  <c r="K31" i="8" s="1"/>
  <c r="K45" i="8" s="1"/>
  <c r="J5" i="12" s="1"/>
  <c r="C16" i="28"/>
  <c r="D16" i="28" l="1"/>
  <c r="D18" i="28" s="1"/>
  <c r="I21" i="15"/>
  <c r="J8" i="16" s="1"/>
  <c r="J12" i="16" s="1"/>
  <c r="H31" i="12"/>
  <c r="D50" i="15"/>
  <c r="D52" i="15" s="1"/>
  <c r="E37" i="16"/>
  <c r="E39" i="16" s="1"/>
  <c r="J4" i="11"/>
  <c r="K28" i="16"/>
  <c r="L104" i="7"/>
  <c r="L122" i="7" s="1"/>
  <c r="K11" i="12" s="1"/>
  <c r="K123" i="7"/>
  <c r="G34" i="16"/>
  <c r="G35" i="16" s="1"/>
  <c r="E47" i="15"/>
  <c r="L77" i="7"/>
  <c r="L33" i="8" s="1"/>
  <c r="L35" i="8" s="1"/>
  <c r="L109" i="7"/>
  <c r="J5" i="11"/>
  <c r="J43" i="15"/>
  <c r="I27" i="16"/>
  <c r="G38" i="17"/>
  <c r="G30" i="17" s="1"/>
  <c r="G34" i="12"/>
  <c r="I19" i="36"/>
  <c r="I20" i="36" s="1"/>
  <c r="I26" i="36" s="1"/>
  <c r="I45" i="36"/>
  <c r="I46" i="36" s="1"/>
  <c r="I52" i="36" s="1"/>
  <c r="I32" i="36"/>
  <c r="I33" i="36" s="1"/>
  <c r="I39" i="36" s="1"/>
  <c r="I6" i="36"/>
  <c r="I7" i="36" s="1"/>
  <c r="I13" i="36" s="1"/>
  <c r="C24" i="28"/>
  <c r="C18" i="28"/>
  <c r="F11" i="14"/>
  <c r="G10" i="14" s="1"/>
  <c r="E24" i="15"/>
  <c r="F16" i="15"/>
  <c r="D30" i="33"/>
  <c r="D32" i="33" s="1"/>
  <c r="D34" i="33" s="1"/>
  <c r="D14" i="33"/>
  <c r="D16" i="33" s="1"/>
  <c r="D18" i="33" s="1"/>
  <c r="L71" i="7"/>
  <c r="L29" i="8" s="1"/>
  <c r="L31" i="8" s="1"/>
  <c r="L105" i="7"/>
  <c r="E8" i="35"/>
  <c r="E50" i="17"/>
  <c r="E55" i="17" s="1"/>
  <c r="E58" i="17" s="1"/>
  <c r="E6" i="34"/>
  <c r="O17" i="34" s="1"/>
  <c r="G4" i="26"/>
  <c r="G5" i="26" s="1"/>
  <c r="F18" i="15"/>
  <c r="E5" i="29"/>
  <c r="E10" i="29" s="1"/>
  <c r="E4" i="31"/>
  <c r="E29" i="17"/>
  <c r="E33" i="17" s="1"/>
  <c r="E42" i="17" s="1"/>
  <c r="E6" i="30"/>
  <c r="E11" i="30" s="1"/>
  <c r="E15" i="30" s="1"/>
  <c r="E3" i="17"/>
  <c r="E11" i="17" s="1"/>
  <c r="I7" i="15"/>
  <c r="H9" i="15"/>
  <c r="G13" i="33" s="1"/>
  <c r="G29" i="33" s="1"/>
  <c r="I14" i="12"/>
  <c r="I29" i="12" s="1"/>
  <c r="J9" i="12"/>
  <c r="J42" i="36"/>
  <c r="J29" i="36"/>
  <c r="J16" i="36"/>
  <c r="J3" i="36"/>
  <c r="O18" i="34" l="1"/>
  <c r="L123" i="7"/>
  <c r="K12" i="12" s="1"/>
  <c r="F12" i="14"/>
  <c r="F13" i="14" s="1"/>
  <c r="F35" i="12" s="1"/>
  <c r="H30" i="16" s="1"/>
  <c r="H32" i="16" s="1"/>
  <c r="H33" i="16" s="1"/>
  <c r="D24" i="28"/>
  <c r="F19" i="15"/>
  <c r="E14" i="33" s="1"/>
  <c r="E16" i="33" s="1"/>
  <c r="E18" i="33" s="1"/>
  <c r="L45" i="8"/>
  <c r="K5" i="12" s="1"/>
  <c r="K16" i="36" s="1"/>
  <c r="F47" i="15"/>
  <c r="H34" i="16"/>
  <c r="I9" i="15"/>
  <c r="J7" i="15"/>
  <c r="G13" i="26"/>
  <c r="E9" i="28" s="1"/>
  <c r="E10" i="28" s="1"/>
  <c r="G12" i="26"/>
  <c r="E12" i="28" s="1"/>
  <c r="E13" i="28" s="1"/>
  <c r="J12" i="12"/>
  <c r="J14" i="12" s="1"/>
  <c r="J29" i="12" s="1"/>
  <c r="K40" i="15"/>
  <c r="H38" i="17"/>
  <c r="H30" i="17" s="1"/>
  <c r="J27" i="16"/>
  <c r="H34" i="12"/>
  <c r="K36" i="15"/>
  <c r="L5" i="16"/>
  <c r="E14" i="31"/>
  <c r="E12" i="31"/>
  <c r="G7" i="35"/>
  <c r="G5" i="14"/>
  <c r="G9" i="14" s="1"/>
  <c r="E50" i="15"/>
  <c r="E52" i="15" s="1"/>
  <c r="F37" i="16"/>
  <c r="F39" i="16" s="1"/>
  <c r="J8" i="11"/>
  <c r="J11" i="11"/>
  <c r="E15" i="17"/>
  <c r="E23" i="29"/>
  <c r="E13" i="29"/>
  <c r="F36" i="12" l="1"/>
  <c r="F6" i="34" s="1"/>
  <c r="O19" i="34" s="1"/>
  <c r="L40" i="15"/>
  <c r="L43" i="15" s="1"/>
  <c r="F24" i="15"/>
  <c r="G16" i="15"/>
  <c r="K29" i="36"/>
  <c r="E16" i="28"/>
  <c r="E18" i="28" s="1"/>
  <c r="H35" i="16"/>
  <c r="I34" i="16" s="1"/>
  <c r="K3" i="36"/>
  <c r="E30" i="33"/>
  <c r="E32" i="33" s="1"/>
  <c r="E34" i="33" s="1"/>
  <c r="K42" i="36"/>
  <c r="K9" i="12"/>
  <c r="K14" i="12" s="1"/>
  <c r="K29" i="12" s="1"/>
  <c r="K5" i="11"/>
  <c r="K43" i="15"/>
  <c r="J13" i="11"/>
  <c r="J15" i="11" s="1"/>
  <c r="H5" i="14"/>
  <c r="H9" i="14" s="1"/>
  <c r="J45" i="36"/>
  <c r="J46" i="36" s="1"/>
  <c r="J52" i="36" s="1"/>
  <c r="J19" i="36"/>
  <c r="J20" i="36" s="1"/>
  <c r="J26" i="36" s="1"/>
  <c r="J6" i="36"/>
  <c r="J7" i="36" s="1"/>
  <c r="J13" i="36" s="1"/>
  <c r="J32" i="36"/>
  <c r="J33" i="36" s="1"/>
  <c r="J39" i="36" s="1"/>
  <c r="F50" i="15"/>
  <c r="G37" i="16"/>
  <c r="G39" i="16" s="1"/>
  <c r="J9" i="15"/>
  <c r="K7" i="15"/>
  <c r="G11" i="14"/>
  <c r="H10" i="14" s="1"/>
  <c r="L28" i="16"/>
  <c r="K4" i="11"/>
  <c r="K45" i="36"/>
  <c r="K6" i="36"/>
  <c r="K32" i="36"/>
  <c r="K19" i="36"/>
  <c r="K20" i="36" s="1"/>
  <c r="K26" i="36" s="1"/>
  <c r="G47" i="15" l="1"/>
  <c r="G50" i="15" s="1"/>
  <c r="E24" i="28"/>
  <c r="F41" i="12"/>
  <c r="F4" i="31"/>
  <c r="F12" i="31" s="1"/>
  <c r="H4" i="26"/>
  <c r="H5" i="26" s="1"/>
  <c r="H13" i="26" s="1"/>
  <c r="F9" i="28" s="1"/>
  <c r="F10" i="28" s="1"/>
  <c r="F29" i="17"/>
  <c r="F33" i="17" s="1"/>
  <c r="F42" i="17" s="1"/>
  <c r="G18" i="15"/>
  <c r="G19" i="15" s="1"/>
  <c r="F30" i="33" s="1"/>
  <c r="F32" i="33" s="1"/>
  <c r="F34" i="33" s="1"/>
  <c r="K46" i="36"/>
  <c r="K52" i="36" s="1"/>
  <c r="F5" i="29"/>
  <c r="F10" i="29" s="1"/>
  <c r="F23" i="29" s="1"/>
  <c r="L5" i="11"/>
  <c r="F3" i="17"/>
  <c r="F11" i="17" s="1"/>
  <c r="F15" i="17" s="1"/>
  <c r="F8" i="35"/>
  <c r="F6" i="30"/>
  <c r="F11" i="30" s="1"/>
  <c r="F15" i="30" s="1"/>
  <c r="F50" i="17"/>
  <c r="F55" i="17" s="1"/>
  <c r="F58" i="17" s="1"/>
  <c r="K7" i="36"/>
  <c r="K13" i="36" s="1"/>
  <c r="K33" i="36"/>
  <c r="K39" i="36" s="1"/>
  <c r="F52" i="15"/>
  <c r="M5" i="16"/>
  <c r="L36" i="15"/>
  <c r="L4" i="11" s="1"/>
  <c r="J21" i="15"/>
  <c r="K8" i="16" s="1"/>
  <c r="K12" i="16" s="1"/>
  <c r="I31" i="12"/>
  <c r="K11" i="11"/>
  <c r="K8" i="11"/>
  <c r="G12" i="14"/>
  <c r="G13" i="14" s="1"/>
  <c r="G35" i="12" s="1"/>
  <c r="H11" i="14"/>
  <c r="I10" i="14" s="1"/>
  <c r="L7" i="15"/>
  <c r="L9" i="15" s="1"/>
  <c r="K9" i="15"/>
  <c r="H37" i="16" l="1"/>
  <c r="H39" i="16" s="1"/>
  <c r="F14" i="31"/>
  <c r="H12" i="26"/>
  <c r="F12" i="28" s="1"/>
  <c r="F13" i="28" s="1"/>
  <c r="F16" i="28" s="1"/>
  <c r="F13" i="29"/>
  <c r="M28" i="16"/>
  <c r="F14" i="33"/>
  <c r="F16" i="33" s="1"/>
  <c r="F18" i="33" s="1"/>
  <c r="B19" i="33" s="1"/>
  <c r="G24" i="15"/>
  <c r="G52" i="15" s="1"/>
  <c r="H16" i="15"/>
  <c r="H12" i="14"/>
  <c r="H13" i="14" s="1"/>
  <c r="H35" i="12" s="1"/>
  <c r="H36" i="12" s="1"/>
  <c r="L8" i="11"/>
  <c r="L11" i="11"/>
  <c r="I30" i="16"/>
  <c r="I32" i="16" s="1"/>
  <c r="I33" i="16" s="1"/>
  <c r="I35" i="16" s="1"/>
  <c r="G36" i="12"/>
  <c r="I38" i="17"/>
  <c r="I30" i="17" s="1"/>
  <c r="K27" i="16"/>
  <c r="I34" i="12"/>
  <c r="K13" i="11"/>
  <c r="K15" i="11" s="1"/>
  <c r="J30" i="16" l="1"/>
  <c r="J32" i="16" s="1"/>
  <c r="J33" i="16" s="1"/>
  <c r="J31" i="12"/>
  <c r="K21" i="15"/>
  <c r="L8" i="16" s="1"/>
  <c r="L12" i="16" s="1"/>
  <c r="I5" i="14"/>
  <c r="I9" i="14" s="1"/>
  <c r="G29" i="17"/>
  <c r="G33" i="17" s="1"/>
  <c r="G42" i="17" s="1"/>
  <c r="G5" i="29"/>
  <c r="G10" i="29" s="1"/>
  <c r="G4" i="31"/>
  <c r="G6" i="34"/>
  <c r="M17" i="34" s="1"/>
  <c r="G6" i="30"/>
  <c r="G11" i="30" s="1"/>
  <c r="G15" i="30" s="1"/>
  <c r="G8" i="35"/>
  <c r="G3" i="17"/>
  <c r="G11" i="17" s="1"/>
  <c r="G15" i="17" s="1"/>
  <c r="H18" i="15"/>
  <c r="H19" i="15" s="1"/>
  <c r="I4" i="26"/>
  <c r="I5" i="26" s="1"/>
  <c r="G50" i="17"/>
  <c r="G55" i="17" s="1"/>
  <c r="G58" i="17" s="1"/>
  <c r="B26" i="17"/>
  <c r="G41" i="12"/>
  <c r="H41" i="12" s="1"/>
  <c r="F18" i="28"/>
  <c r="F24" i="28"/>
  <c r="H47" i="15"/>
  <c r="J34" i="16"/>
  <c r="L13" i="11"/>
  <c r="L15" i="11" s="1"/>
  <c r="H29" i="17"/>
  <c r="H33" i="17" s="1"/>
  <c r="H42" i="17" s="1"/>
  <c r="H50" i="17"/>
  <c r="H55" i="17" s="1"/>
  <c r="H6" i="30"/>
  <c r="H11" i="30" s="1"/>
  <c r="H15" i="30" s="1"/>
  <c r="H6" i="34"/>
  <c r="I18" i="15"/>
  <c r="H4" i="31"/>
  <c r="J4" i="26"/>
  <c r="J5" i="26" s="1"/>
  <c r="H3" i="17"/>
  <c r="H11" i="17" s="1"/>
  <c r="H5" i="29"/>
  <c r="H10" i="29" s="1"/>
  <c r="M18" i="34" l="1"/>
  <c r="M19" i="34" s="1"/>
  <c r="J35" i="16"/>
  <c r="K34" i="16" s="1"/>
  <c r="G14" i="33"/>
  <c r="G16" i="33" s="1"/>
  <c r="G18" i="33" s="1"/>
  <c r="H24" i="15"/>
  <c r="G30" i="33"/>
  <c r="G32" i="33" s="1"/>
  <c r="G34" i="33" s="1"/>
  <c r="B35" i="33" s="1"/>
  <c r="I16" i="15"/>
  <c r="I19" i="15" s="1"/>
  <c r="G12" i="31"/>
  <c r="G14" i="31"/>
  <c r="I11" i="14"/>
  <c r="J10" i="14" s="1"/>
  <c r="H23" i="29"/>
  <c r="H13" i="29"/>
  <c r="H50" i="15"/>
  <c r="I37" i="16"/>
  <c r="I39" i="16" s="1"/>
  <c r="H15" i="17"/>
  <c r="B17" i="17" s="1"/>
  <c r="B22" i="17" s="1"/>
  <c r="B24" i="17"/>
  <c r="L21" i="15"/>
  <c r="M8" i="16" s="1"/>
  <c r="M12" i="16" s="1"/>
  <c r="K31" i="12"/>
  <c r="G23" i="29"/>
  <c r="G13" i="29"/>
  <c r="J12" i="26"/>
  <c r="H12" i="28" s="1"/>
  <c r="H13" i="28" s="1"/>
  <c r="J13" i="26"/>
  <c r="H9" i="28" s="1"/>
  <c r="H10" i="28" s="1"/>
  <c r="I12" i="26"/>
  <c r="G12" i="28" s="1"/>
  <c r="G13" i="28" s="1"/>
  <c r="I13" i="26"/>
  <c r="G9" i="28" s="1"/>
  <c r="G10" i="28" s="1"/>
  <c r="J38" i="17"/>
  <c r="J30" i="17" s="1"/>
  <c r="L27" i="16"/>
  <c r="J34" i="12"/>
  <c r="I47" i="15" l="1"/>
  <c r="I50" i="15" s="1"/>
  <c r="H52" i="15"/>
  <c r="H16" i="28"/>
  <c r="H24" i="28" s="1"/>
  <c r="I12" i="14"/>
  <c r="I13" i="14" s="1"/>
  <c r="I35" i="12" s="1"/>
  <c r="K30" i="16" s="1"/>
  <c r="K32" i="16" s="1"/>
  <c r="K33" i="16" s="1"/>
  <c r="K35" i="16" s="1"/>
  <c r="K38" i="17"/>
  <c r="K30" i="17" s="1"/>
  <c r="M27" i="16"/>
  <c r="K34" i="12"/>
  <c r="J5" i="14"/>
  <c r="J9" i="14" s="1"/>
  <c r="J11" i="14" s="1"/>
  <c r="K10" i="14" s="1"/>
  <c r="I24" i="15"/>
  <c r="J16" i="15"/>
  <c r="G16" i="28"/>
  <c r="J37" i="16" l="1"/>
  <c r="J39" i="16" s="1"/>
  <c r="H18" i="28"/>
  <c r="I36" i="12"/>
  <c r="I6" i="30" s="1"/>
  <c r="I11" i="30" s="1"/>
  <c r="I15" i="30" s="1"/>
  <c r="I52" i="15"/>
  <c r="J47" i="15"/>
  <c r="L34" i="16"/>
  <c r="G24" i="28"/>
  <c r="B22" i="28" s="1"/>
  <c r="G18" i="28"/>
  <c r="J12" i="14"/>
  <c r="J13" i="14" s="1"/>
  <c r="J35" i="12" s="1"/>
  <c r="K5" i="14"/>
  <c r="K9" i="14" s="1"/>
  <c r="I29" i="17" l="1"/>
  <c r="I33" i="17" s="1"/>
  <c r="I42" i="17" s="1"/>
  <c r="B19" i="28"/>
  <c r="B21" i="28" s="1"/>
  <c r="I6" i="34"/>
  <c r="I50" i="17"/>
  <c r="I55" i="17" s="1"/>
  <c r="I41" i="12"/>
  <c r="J18" i="15"/>
  <c r="J19" i="15" s="1"/>
  <c r="K16" i="15" s="1"/>
  <c r="I5" i="29"/>
  <c r="I10" i="29" s="1"/>
  <c r="I23" i="29" s="1"/>
  <c r="L30" i="16"/>
  <c r="L32" i="16" s="1"/>
  <c r="L33" i="16" s="1"/>
  <c r="L35" i="16" s="1"/>
  <c r="J36" i="12"/>
  <c r="J41" i="12" s="1"/>
  <c r="K11" i="14"/>
  <c r="K12" i="14" s="1"/>
  <c r="K13" i="14" s="1"/>
  <c r="K35" i="12" s="1"/>
  <c r="J50" i="15"/>
  <c r="K37" i="16"/>
  <c r="K39" i="16" s="1"/>
  <c r="I13" i="29" l="1"/>
  <c r="J24" i="15"/>
  <c r="J52" i="15" s="1"/>
  <c r="M30" i="16"/>
  <c r="M32" i="16" s="1"/>
  <c r="M33" i="16" s="1"/>
  <c r="K36" i="12"/>
  <c r="K41" i="12" s="1"/>
  <c r="K47" i="15"/>
  <c r="M34" i="16"/>
  <c r="J29" i="17"/>
  <c r="J33" i="17" s="1"/>
  <c r="J42" i="17" s="1"/>
  <c r="J5" i="29"/>
  <c r="J10" i="29" s="1"/>
  <c r="J6" i="34"/>
  <c r="J6" i="30"/>
  <c r="J11" i="30" s="1"/>
  <c r="J15" i="30" s="1"/>
  <c r="J50" i="17"/>
  <c r="J55" i="17" s="1"/>
  <c r="K18" i="15"/>
  <c r="K19" i="15" s="1"/>
  <c r="M35" i="16" l="1"/>
  <c r="L47" i="15" s="1"/>
  <c r="J23" i="29"/>
  <c r="J13" i="29"/>
  <c r="K50" i="15"/>
  <c r="L37" i="16"/>
  <c r="L39" i="16" s="1"/>
  <c r="L18" i="15"/>
  <c r="K50" i="17"/>
  <c r="K55" i="17" s="1"/>
  <c r="K6" i="34"/>
  <c r="B8" i="34" s="1"/>
  <c r="K29" i="17"/>
  <c r="K33" i="17" s="1"/>
  <c r="K42" i="17" s="1"/>
  <c r="B44" i="17" s="1"/>
  <c r="K6" i="30"/>
  <c r="K11" i="30" s="1"/>
  <c r="K15" i="30" s="1"/>
  <c r="B17" i="30" s="1"/>
  <c r="K5" i="29"/>
  <c r="K10" i="29" s="1"/>
  <c r="K24" i="15"/>
  <c r="L16" i="15"/>
  <c r="K52" i="15" l="1"/>
  <c r="K23" i="29"/>
  <c r="B24" i="29" s="1"/>
  <c r="K13" i="29"/>
  <c r="B14" i="29" s="1"/>
  <c r="B15" i="34"/>
  <c r="B11" i="34"/>
  <c r="B21" i="30"/>
  <c r="B25" i="30"/>
  <c r="L19" i="15"/>
  <c r="L24" i="15" s="1"/>
  <c r="L50" i="15"/>
  <c r="M37" i="16"/>
  <c r="M39" i="16" s="1"/>
  <c r="L52" i="15" l="1"/>
</calcChain>
</file>

<file path=xl/sharedStrings.xml><?xml version="1.0" encoding="utf-8"?>
<sst xmlns="http://schemas.openxmlformats.org/spreadsheetml/2006/main" count="1468" uniqueCount="713">
  <si>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</si>
  <si>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</si>
  <si>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</si>
  <si>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</si>
  <si>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</si>
  <si>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</si>
  <si>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</si>
  <si>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</si>
  <si>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</si>
  <si>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</si>
  <si>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</si>
  <si>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</si>
  <si>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</si>
  <si>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</si>
  <si>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</si>
  <si>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</si>
  <si>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</si>
  <si>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</si>
  <si>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</si>
  <si>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</si>
  <si>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</si>
  <si>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</si>
  <si>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</si>
  <si>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</si>
  <si>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</si>
  <si>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</si>
  <si>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</si>
  <si>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</si>
  <si>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</si>
  <si>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</si>
  <si>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</si>
  <si>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</si>
  <si>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</si>
  <si>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</si>
  <si>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</si>
  <si>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</si>
  <si>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</si>
  <si>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</si>
  <si>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</si>
  <si>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</si>
  <si>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</si>
  <si>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</si>
  <si>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</si>
  <si>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</si>
  <si>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</si>
  <si>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</si>
  <si>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</si>
  <si>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</si>
  <si>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</si>
  <si>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</si>
  <si>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</si>
  <si>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</si>
  <si>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</si>
  <si>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</si>
  <si>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</si>
  <si>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</si>
  <si>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</si>
  <si>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</si>
  <si>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</si>
  <si>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</si>
  <si>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</si>
  <si>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</si>
  <si>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</si>
  <si>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</si>
  <si>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</si>
  <si>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</si>
  <si>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</si>
  <si>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</si>
  <si>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</si>
  <si>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</si>
  <si>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</si>
  <si>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</si>
  <si>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</si>
  <si>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</si>
  <si>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</si>
  <si>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</si>
  <si>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</si>
  <si>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</si>
  <si>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</si>
  <si>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</si>
  <si>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</si>
  <si>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</si>
  <si>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</si>
  <si>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</si>
  <si>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</si>
  <si>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</si>
  <si>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</si>
  <si>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</si>
  <si>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</si>
  <si>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</si>
  <si>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</si>
  <si>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</si>
  <si>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</si>
  <si>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</si>
  <si>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</si>
  <si>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</si>
  <si>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</si>
  <si>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</si>
  <si>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</si>
  <si>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</si>
  <si>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</si>
  <si>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</si>
  <si>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</si>
  <si>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</si>
  <si>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</si>
  <si>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</si>
  <si>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</si>
  <si>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</si>
  <si>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</si>
  <si>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</si>
  <si>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</si>
  <si>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</si>
  <si>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</si>
  <si>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</si>
  <si>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Power Calc. (Variable)</t>
  </si>
  <si>
    <t>Telephone</t>
  </si>
  <si>
    <t>Internet &amp; Broadband</t>
  </si>
  <si>
    <t>Office Electricity</t>
  </si>
  <si>
    <t>5 KVA (Power chart)</t>
  </si>
  <si>
    <t>Accounting Charges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</si>
  <si>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</si>
  <si>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</si>
  <si>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</si>
  <si>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</si>
  <si>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</si>
  <si>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</si>
  <si>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</si>
  <si>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</si>
  <si>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</si>
  <si>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</si>
  <si>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</si>
  <si>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</si>
  <si>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</si>
  <si>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</si>
  <si>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</si>
  <si>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</si>
  <si>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</si>
  <si>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</si>
  <si>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</si>
  <si>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</si>
  <si>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</si>
  <si>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</si>
  <si>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</si>
  <si>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</si>
  <si>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</si>
  <si>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</si>
  <si>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</si>
  <si>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</si>
  <si>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</si>
  <si>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</si>
  <si>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</si>
  <si>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</si>
  <si>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</si>
  <si>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</si>
  <si>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</si>
  <si>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</si>
  <si>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</si>
  <si>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</si>
  <si>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</si>
  <si>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</si>
  <si>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</si>
  <si>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</si>
  <si>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</si>
  <si>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</si>
  <si>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</si>
  <si>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</si>
  <si>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</si>
  <si>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</si>
  <si>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</si>
  <si>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</si>
  <si>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</si>
  <si>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</si>
  <si>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</si>
  <si>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</si>
  <si>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</si>
  <si>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</si>
  <si>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</si>
  <si>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</si>
  <si>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</si>
  <si>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</si>
  <si>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</si>
  <si>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</si>
  <si>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</si>
  <si>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</si>
  <si>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</si>
  <si>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</si>
  <si>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</si>
  <si>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</si>
  <si>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</si>
  <si>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</si>
  <si>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</si>
  <si>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</si>
  <si>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</si>
  <si>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</si>
  <si>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</si>
  <si>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</si>
  <si>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</si>
  <si>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</si>
  <si>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</si>
  <si>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</si>
  <si>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</si>
  <si>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</si>
  <si>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</si>
  <si>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</si>
  <si>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</si>
  <si>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</si>
  <si>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</si>
  <si>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</si>
  <si>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</si>
  <si>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</si>
  <si>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</si>
  <si>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</si>
  <si>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</si>
  <si>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</si>
  <si>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</si>
  <si>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</si>
  <si>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</si>
  <si>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</si>
  <si>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</si>
  <si>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</si>
  <si>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</si>
  <si>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</si>
  <si>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</si>
  <si>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</si>
  <si>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</si>
  <si>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</si>
  <si>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</si>
  <si>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</si>
  <si>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</si>
  <si>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</si>
  <si>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</si>
  <si>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</si>
  <si>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</si>
  <si>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</si>
  <si>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</si>
  <si>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</si>
  <si>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</si>
  <si>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</si>
  <si>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</si>
  <si>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</si>
  <si>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</si>
  <si>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</si>
  <si>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</si>
  <si>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</si>
  <si>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</si>
  <si>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</si>
  <si>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</si>
  <si>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</si>
  <si>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</si>
  <si>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</si>
  <si>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</si>
  <si>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</si>
  <si>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</si>
  <si>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</si>
  <si>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</si>
  <si>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</si>
  <si>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</si>
  <si>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</si>
  <si>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</si>
  <si>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</si>
  <si>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</si>
  <si>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</si>
  <si>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</si>
  <si>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</si>
  <si>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</si>
  <si>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</si>
  <si>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</si>
  <si>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</si>
  <si>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</si>
  <si>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</si>
  <si>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</si>
  <si>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</si>
  <si>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</si>
  <si>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</si>
  <si>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</si>
  <si>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</si>
  <si>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</si>
  <si>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</si>
  <si>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</si>
  <si>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</si>
  <si>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</si>
  <si>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</si>
  <si>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</si>
  <si>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</si>
  <si>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</si>
  <si>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</si>
  <si>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</si>
  <si>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</si>
  <si>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</si>
  <si>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</si>
  <si>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</si>
  <si>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</si>
  <si>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</si>
  <si>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</si>
  <si>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</si>
  <si>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</si>
  <si>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</si>
  <si>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</si>
  <si>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</si>
  <si>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</si>
  <si>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</si>
  <si>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</si>
  <si>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</si>
  <si>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</si>
  <si>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</si>
  <si>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</si>
  <si>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</si>
  <si>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</si>
  <si>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</si>
  <si>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</si>
  <si>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</si>
  <si>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</si>
  <si>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</si>
  <si>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</si>
  <si>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</si>
  <si>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</si>
  <si>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</si>
  <si>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</si>
  <si>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</si>
  <si>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</si>
  <si>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</si>
  <si>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</si>
  <si>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</si>
  <si>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</si>
  <si>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</si>
  <si>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</si>
  <si>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</si>
  <si>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</si>
  <si>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</si>
  <si>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</si>
  <si>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</si>
  <si>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</si>
  <si>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</si>
  <si>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</si>
  <si>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</si>
  <si>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</si>
  <si>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</si>
  <si>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</si>
  <si>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</si>
  <si>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</si>
  <si>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</si>
  <si>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</si>
  <si>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</si>
  <si>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</si>
  <si>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</si>
  <si>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</si>
  <si>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</si>
  <si>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</si>
  <si>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</si>
  <si>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</si>
  <si>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</si>
  <si>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</si>
  <si>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</si>
  <si>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</si>
  <si>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</si>
  <si>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</si>
  <si>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</si>
  <si>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</si>
  <si>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</si>
  <si>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</si>
  <si>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</si>
  <si>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</si>
  <si>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</si>
  <si>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</si>
  <si>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</si>
  <si>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</si>
  <si>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</si>
  <si>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</si>
  <si>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</si>
  <si>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</si>
  <si>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</si>
  <si>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</si>
  <si>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</si>
  <si>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</si>
  <si>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</si>
  <si>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</si>
  <si>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</si>
  <si>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</si>
  <si>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</si>
  <si>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</si>
  <si>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</si>
  <si>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</si>
  <si>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</si>
  <si>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</si>
  <si>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</si>
  <si>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</si>
  <si>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</si>
  <si>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</si>
  <si>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</si>
  <si>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</si>
  <si>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</si>
  <si>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</si>
  <si>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</si>
  <si>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</si>
  <si>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</si>
  <si>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</si>
  <si>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</si>
  <si>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</si>
  <si>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</si>
  <si>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</si>
  <si>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</si>
  <si>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</si>
  <si>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</si>
  <si>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</si>
  <si>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</si>
  <si>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</si>
  <si>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</si>
  <si>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</si>
  <si>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</si>
  <si>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</si>
  <si>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</si>
  <si>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</si>
  <si>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</si>
  <si>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</si>
  <si>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</si>
  <si>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</si>
  <si>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</si>
  <si>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</si>
  <si>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</si>
  <si>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</si>
  <si>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</si>
  <si>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</si>
  <si>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</si>
  <si>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</si>
  <si>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</si>
  <si>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</si>
  <si>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</si>
  <si>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</si>
  <si>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</si>
  <si>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</si>
  <si>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</si>
  <si>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</si>
  <si>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</si>
  <si>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</si>
  <si>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</si>
  <si>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</si>
  <si>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</si>
  <si>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</si>
  <si>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</si>
  <si>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</si>
  <si>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</si>
  <si>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</si>
  <si>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</si>
  <si>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</si>
  <si>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</si>
  <si>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</si>
  <si>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</si>
  <si>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</si>
  <si>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</si>
  <si>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</si>
  <si>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</si>
  <si>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</si>
  <si>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</si>
  <si>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</si>
  <si>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</si>
  <si>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</si>
  <si>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</si>
  <si>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</si>
  <si>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</si>
  <si>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</si>
  <si>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</si>
  <si>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</si>
  <si>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</si>
  <si>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</si>
  <si>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</si>
  <si>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</si>
  <si>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</si>
  <si>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</si>
  <si>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</si>
  <si>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</si>
  <si>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</si>
  <si>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</si>
  <si>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</si>
  <si>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</si>
  <si>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</si>
  <si>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</si>
  <si>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</si>
  <si>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</si>
  <si>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</si>
  <si>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</si>
  <si>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</si>
  <si>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</si>
  <si>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</si>
  <si>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</si>
  <si>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</si>
  <si>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</si>
  <si>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</si>
  <si>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</si>
  <si>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</si>
  <si>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</si>
  <si>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</si>
  <si>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</si>
  <si>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</si>
  <si>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</si>
  <si>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</si>
  <si>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</si>
  <si>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</si>
  <si>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</si>
  <si>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</si>
  <si>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</si>
  <si>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</si>
  <si>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</si>
  <si>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</si>
  <si>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</si>
  <si>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</si>
  <si>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</si>
  <si>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</si>
  <si>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</si>
  <si>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</si>
  <si>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</si>
  <si>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</si>
  <si>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</si>
  <si>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</si>
  <si>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</si>
  <si>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</si>
  <si>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</si>
  <si>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</si>
  <si>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</si>
  <si>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</si>
  <si>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</si>
  <si>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</si>
  <si>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</si>
  <si>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</si>
  <si>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</si>
  <si>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</si>
  <si>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</si>
  <si>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</si>
  <si>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</si>
  <si>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</si>
  <si>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</si>
  <si>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</si>
  <si>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</si>
  <si>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</si>
  <si>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</si>
  <si>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</si>
  <si>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</si>
  <si>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</si>
  <si>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</si>
  <si>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</si>
  <si>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</si>
  <si>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</si>
  <si>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</si>
  <si>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</si>
  <si>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</si>
  <si>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</si>
  <si>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</si>
  <si>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</si>
  <si>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</si>
  <si>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</si>
  <si>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</si>
  <si>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</si>
  <si>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</si>
  <si>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</si>
  <si>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</si>
  <si>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</si>
  <si>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</si>
  <si>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</si>
  <si>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</si>
  <si>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</si>
  <si>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</si>
  <si>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</si>
  <si>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</si>
  <si>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</si>
  <si>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</si>
  <si>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</si>
  <si>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</si>
  <si>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</si>
  <si>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</si>
  <si>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</si>
  <si>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</si>
  <si>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</si>
  <si>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</si>
  <si>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</si>
  <si>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</si>
  <si>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</si>
  <si>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</si>
  <si>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</si>
  <si>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</si>
  <si>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</si>
  <si>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</si>
  <si>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</si>
  <si>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</si>
  <si>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</si>
  <si>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</si>
  <si>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</si>
  <si>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</si>
  <si>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</si>
  <si>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</si>
  <si>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</si>
  <si>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>with grant</t>
  </si>
  <si>
    <t>without grant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</si>
  <si>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</si>
  <si>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</si>
  <si>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</si>
  <si>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</si>
  <si>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</si>
  <si>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</si>
  <si>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</si>
  <si>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Income Tax 30%</t>
  </si>
  <si>
    <t>H</t>
  </si>
  <si>
    <t>Packaging , Printing &amp; Weighing Machine</t>
  </si>
  <si>
    <t>Packaging Machine</t>
  </si>
  <si>
    <t>Printing Machine</t>
  </si>
  <si>
    <t>Weighing Machine</t>
  </si>
  <si>
    <t>ELECTRIC FITTING</t>
  </si>
  <si>
    <t>11 KV Line</t>
  </si>
  <si>
    <t>Husk</t>
  </si>
  <si>
    <t>Bran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</si>
  <si>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</si>
  <si>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</si>
  <si>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</si>
  <si>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</si>
  <si>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</si>
  <si>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</si>
  <si>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</si>
  <si>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</si>
  <si>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500/day</t>
  </si>
  <si>
    <t>Net taxable profit</t>
  </si>
  <si>
    <t>1% of machine cost &amp; civil works</t>
  </si>
  <si>
    <t>Nil</t>
  </si>
  <si>
    <t>Smart Subsidy %</t>
  </si>
  <si>
    <t>Subsidy Amount</t>
  </si>
  <si>
    <t xml:space="preserve"> </t>
  </si>
  <si>
    <t>White wash and paint to internal / external wall surfaces</t>
  </si>
  <si>
    <t>Rice</t>
  </si>
  <si>
    <t>Loss b/f</t>
  </si>
  <si>
    <t>loss c/f</t>
  </si>
  <si>
    <t>Variety</t>
  </si>
  <si>
    <t>JSR</t>
  </si>
  <si>
    <t>DTC- 200 KVA</t>
  </si>
  <si>
    <t>MCC Panel</t>
  </si>
  <si>
    <t>to check extra quute of sheet and pipe</t>
  </si>
  <si>
    <t>10 lakh</t>
  </si>
  <si>
    <t>and additional pre cleaner, elevator and bran filter</t>
  </si>
  <si>
    <t>quotation not found</t>
  </si>
  <si>
    <t>A1</t>
  </si>
  <si>
    <t>1143.00 SQM</t>
  </si>
  <si>
    <t>0.1176/ SQM</t>
  </si>
  <si>
    <t>Inc.</t>
  </si>
  <si>
    <t>A2</t>
  </si>
  <si>
    <t>-</t>
  </si>
  <si>
    <t>A3</t>
  </si>
  <si>
    <t>LS</t>
  </si>
  <si>
    <t>1 Set</t>
  </si>
  <si>
    <t>(LS)</t>
  </si>
  <si>
    <t>A4</t>
  </si>
  <si>
    <t>A5</t>
  </si>
  <si>
    <t>A6</t>
  </si>
  <si>
    <t>H.R.Sheet, Pipes and M.S. Angle/Channel/Beam for machinery</t>
  </si>
  <si>
    <t>Value of Opening Stock</t>
  </si>
  <si>
    <t>Value of Closing stock</t>
  </si>
  <si>
    <t>Finished Goods (MT)- IR 1010</t>
  </si>
  <si>
    <t>e</t>
  </si>
  <si>
    <t>400/ton</t>
  </si>
  <si>
    <t>Grade Output -IR 1010</t>
  </si>
  <si>
    <t>Grade Output -Jai Shri Ram Variety</t>
  </si>
  <si>
    <t>Jai Shri Ram</t>
  </si>
  <si>
    <t>Dall Mill (0.5 TPH)</t>
  </si>
  <si>
    <t>Grader (Chalna). *3 Sheet</t>
  </si>
  <si>
    <t>Roll petty</t>
  </si>
  <si>
    <t xml:space="preserve">Machinery Fitting &amp; Transportation Charges </t>
  </si>
  <si>
    <t>IT INFRASTRUCTURE</t>
  </si>
  <si>
    <t>Desktop &amp; Printer</t>
  </si>
  <si>
    <t>Dall Mill</t>
  </si>
  <si>
    <t>Total Input (Tur) (MT)</t>
  </si>
  <si>
    <t>Total Input (Tur/Chana) (MT)</t>
  </si>
  <si>
    <t>Captive Operations Grade Output (Tur)(MT)</t>
  </si>
  <si>
    <t>Tur Dall</t>
  </si>
  <si>
    <t>Waste</t>
  </si>
  <si>
    <t>Captive Operations Grade Output (Chana)(MT)</t>
  </si>
  <si>
    <t>Chana Dall</t>
  </si>
  <si>
    <t>Pulses processed per day (MT)</t>
  </si>
  <si>
    <t>Total Input (Chana) (MT)</t>
  </si>
  <si>
    <t>Tur</t>
  </si>
  <si>
    <t>Chana</t>
  </si>
  <si>
    <t>Finished Goods (MT)- Chana</t>
  </si>
  <si>
    <t>51 KVA (Power chart)</t>
  </si>
  <si>
    <t>Bhusa</t>
  </si>
  <si>
    <t>Powder</t>
  </si>
  <si>
    <t>Cattle Feed</t>
  </si>
  <si>
    <t>Chuni</t>
  </si>
  <si>
    <t>Revenue- Service Charges - Dal Milling</t>
  </si>
  <si>
    <t>50% reserved for JW Services</t>
  </si>
  <si>
    <t>50% reserved for Captive operations</t>
  </si>
  <si>
    <t>50% capacity reserved</t>
  </si>
  <si>
    <t>Dal Milling (in Rs. Per MT)</t>
  </si>
  <si>
    <t xml:space="preserve">10000 p.a. </t>
  </si>
  <si>
    <t>Production- Tur (MT)</t>
  </si>
  <si>
    <t>Total Production (Tur)</t>
  </si>
  <si>
    <t>Marketable Surplus - Tur (70%)</t>
  </si>
  <si>
    <t>Marketable Surplus - Chana (60%)</t>
  </si>
  <si>
    <t>Production- Chana (MT)</t>
  </si>
  <si>
    <t>Total Production (Chana)</t>
  </si>
  <si>
    <t>Tur Requirement of Project (MT)</t>
  </si>
  <si>
    <t>Chana Requirement of Project (MT)</t>
  </si>
  <si>
    <t>Present Value Equivalent @ 40.96%</t>
  </si>
  <si>
    <t>Civil work for Raw Material Warehouse</t>
  </si>
  <si>
    <t>PVK Double Roller Mini Dal Mil</t>
  </si>
  <si>
    <t>Sheller</t>
  </si>
  <si>
    <t>Single Polisher</t>
  </si>
  <si>
    <t>Screen Sheet</t>
  </si>
  <si>
    <t>GST</t>
  </si>
  <si>
    <t>1.5 TPD</t>
  </si>
  <si>
    <t>500 p.m.</t>
  </si>
  <si>
    <t xml:space="preserve">750 p.m. </t>
  </si>
  <si>
    <t>1500 p.m.</t>
  </si>
  <si>
    <t>200/day</t>
  </si>
  <si>
    <t>15 KVA (Power chart)</t>
  </si>
  <si>
    <t xml:space="preserve">500 p.m. </t>
  </si>
  <si>
    <t>700 p.m.</t>
  </si>
  <si>
    <t>4 Years 0 months</t>
  </si>
  <si>
    <t>6 Yrs 9 month</t>
  </si>
  <si>
    <t>Present Value Equivalent @ 14.92%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</si>
</sst>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0.0%"/>
    <numFmt numFmtId="167" formatCode="_ * #,##0_ ;_ * \-#,##0_ ;_ * &quot;-&quot;??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 tint="4.9989318521683403E-2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43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43" fontId="0" fillId="0" borderId="0" xfId="0" applyNumberFormat="1"/>
    <xf numFmtId="43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43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43" fontId="9" fillId="0" borderId="1" xfId="1" applyFont="1" applyBorder="1"/>
    <xf numFmtId="43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43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3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43" fontId="13" fillId="0" borderId="0" xfId="1" applyFont="1" applyAlignment="1">
      <alignment wrapText="1"/>
    </xf>
    <xf numFmtId="43" fontId="15" fillId="0" borderId="1" xfId="0" applyNumberFormat="1" applyFont="1" applyBorder="1" applyAlignment="1">
      <alignment wrapText="1"/>
    </xf>
    <xf numFmtId="43" fontId="13" fillId="0" borderId="0" xfId="0" applyNumberFormat="1" applyFont="1" applyAlignment="1">
      <alignment wrapText="1"/>
    </xf>
    <xf numFmtId="43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43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43" fontId="4" fillId="0" borderId="1" xfId="1" applyFont="1" applyFill="1" applyBorder="1"/>
    <xf numFmtId="43" fontId="9" fillId="0" borderId="1" xfId="1" applyFont="1" applyFill="1" applyBorder="1"/>
    <xf numFmtId="0" fontId="18" fillId="0" borderId="1" xfId="0" applyFont="1" applyFill="1" applyBorder="1"/>
    <xf numFmtId="43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164" fontId="4" fillId="0" borderId="0" xfId="0" applyNumberFormat="1" applyFont="1" applyFill="1"/>
    <xf numFmtId="2" fontId="4" fillId="0" borderId="0" xfId="0" applyNumberFormat="1" applyFont="1" applyFill="1"/>
    <xf numFmtId="164" fontId="4" fillId="0" borderId="1" xfId="0" applyNumberFormat="1" applyFont="1" applyFill="1" applyBorder="1"/>
    <xf numFmtId="43" fontId="9" fillId="0" borderId="0" xfId="1" applyFont="1" applyFill="1" applyBorder="1"/>
    <xf numFmtId="43" fontId="4" fillId="0" borderId="0" xfId="0" applyNumberFormat="1" applyFont="1" applyFill="1"/>
    <xf numFmtId="43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43" fontId="20" fillId="0" borderId="1" xfId="1" applyFont="1" applyFill="1" applyBorder="1" applyAlignment="1">
      <alignment horizontal="right" wrapText="1"/>
    </xf>
    <xf numFmtId="43" fontId="20" fillId="0" borderId="1" xfId="1" applyFont="1" applyFill="1" applyBorder="1" applyAlignment="1">
      <alignment wrapText="1"/>
    </xf>
    <xf numFmtId="43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43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43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43" fontId="9" fillId="4" borderId="1" xfId="0" applyNumberFormat="1" applyFont="1" applyFill="1" applyBorder="1"/>
    <xf numFmtId="43" fontId="2" fillId="0" borderId="0" xfId="1" applyFont="1" applyBorder="1"/>
    <xf numFmtId="43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43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43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3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43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43" fontId="2" fillId="5" borderId="1" xfId="0" applyNumberFormat="1" applyFont="1" applyFill="1" applyBorder="1"/>
    <xf numFmtId="43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43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3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9" fontId="2" fillId="0" borderId="1" xfId="0" applyNumberFormat="1" applyFont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2" fillId="0" borderId="3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center"/>
    </xf>
    <xf numFmtId="0" fontId="27" fillId="0" borderId="1" xfId="0" applyFont="1" applyBorder="1"/>
    <xf numFmtId="43" fontId="27" fillId="0" borderId="1" xfId="0" applyNumberFormat="1" applyFont="1" applyBorder="1"/>
    <xf numFmtId="9" fontId="13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43" fontId="16" fillId="0" borderId="0" xfId="0" applyNumberFormat="1" applyFont="1" applyAlignment="1">
      <alignment wrapText="1"/>
    </xf>
    <xf numFmtId="165" fontId="2" fillId="0" borderId="1" xfId="1" applyNumberFormat="1" applyFont="1" applyFill="1" applyBorder="1"/>
    <xf numFmtId="165" fontId="2" fillId="0" borderId="1" xfId="1" applyNumberFormat="1" applyFont="1" applyBorder="1"/>
    <xf numFmtId="43" fontId="13" fillId="0" borderId="1" xfId="1" applyFont="1" applyFill="1" applyBorder="1" applyAlignment="1">
      <alignment wrapText="1"/>
    </xf>
    <xf numFmtId="43" fontId="2" fillId="0" borderId="3" xfId="1" applyFont="1" applyBorder="1" applyAlignment="1">
      <alignment horizontal="center" vertical="center"/>
    </xf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8" fillId="0" borderId="19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2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right" vertical="center" wrapText="1"/>
    </xf>
    <xf numFmtId="43" fontId="2" fillId="0" borderId="1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3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2" fillId="0" borderId="0" xfId="0" applyFont="1" applyFill="1"/>
    <xf numFmtId="0" fontId="33" fillId="0" borderId="1" xfId="0" applyFont="1" applyFill="1" applyBorder="1"/>
    <xf numFmtId="43" fontId="2" fillId="0" borderId="17" xfId="1" applyFont="1" applyBorder="1" applyAlignment="1">
      <alignment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" fontId="27" fillId="0" borderId="0" xfId="0" applyNumberFormat="1" applyFont="1"/>
    <xf numFmtId="2" fontId="27" fillId="0" borderId="1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86"/>
  <sheetViews>
    <sheetView view="pageBreakPreview" topLeftCell="A19" zoomScale="85" zoomScaleNormal="100" zoomScaleSheetLayoutView="85" workbookViewId="0">
      <selection activeCell="C40" sqref="C38:C40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7" width="9.140625" style="1"/>
    <col min="8" max="8" width="39.85546875" style="1" customWidth="1"/>
    <col min="9" max="14" width="9.140625" style="1"/>
    <col min="15" max="15" width="9.140625" style="1" customWidth="1"/>
    <col min="16" max="16384" width="9.140625" style="1"/>
  </cols>
  <sheetData>
    <row r="5" spans="1:12" ht="30" x14ac:dyDescent="0.25">
      <c r="A5" s="142" t="s">
        <v>391</v>
      </c>
      <c r="B5" s="142" t="s">
        <v>392</v>
      </c>
      <c r="C5" s="143" t="s">
        <v>393</v>
      </c>
    </row>
    <row r="6" spans="1:12" x14ac:dyDescent="0.25">
      <c r="A6" s="142">
        <v>1</v>
      </c>
      <c r="B6" s="144" t="s">
        <v>394</v>
      </c>
      <c r="C6" s="264">
        <v>28.28</v>
      </c>
    </row>
    <row r="7" spans="1:12" x14ac:dyDescent="0.25">
      <c r="A7" s="145"/>
      <c r="B7" s="146" t="s">
        <v>696</v>
      </c>
      <c r="C7" s="334"/>
    </row>
    <row r="8" spans="1:12" x14ac:dyDescent="0.25">
      <c r="A8" s="145" t="s">
        <v>77</v>
      </c>
      <c r="B8" s="147" t="s">
        <v>395</v>
      </c>
      <c r="C8" s="335"/>
    </row>
    <row r="9" spans="1:12" x14ac:dyDescent="0.25">
      <c r="A9" s="145" t="s">
        <v>82</v>
      </c>
      <c r="B9" s="147" t="s">
        <v>396</v>
      </c>
      <c r="C9" s="335"/>
      <c r="D9" s="1" t="s">
        <v>631</v>
      </c>
      <c r="I9" s="1" t="s">
        <v>632</v>
      </c>
    </row>
    <row r="10" spans="1:12" ht="15.75" thickBot="1" x14ac:dyDescent="0.3">
      <c r="A10" s="253" t="s">
        <v>83</v>
      </c>
      <c r="B10" s="147" t="s">
        <v>581</v>
      </c>
      <c r="C10" s="335"/>
      <c r="D10" s="1" t="s">
        <v>633</v>
      </c>
      <c r="I10" s="1">
        <f>5.25+10.5+1.26</f>
        <v>17.010000000000002</v>
      </c>
      <c r="J10" s="1" t="s">
        <v>634</v>
      </c>
    </row>
    <row r="11" spans="1:12" ht="15.75" thickBot="1" x14ac:dyDescent="0.3">
      <c r="A11" s="145" t="s">
        <v>397</v>
      </c>
      <c r="B11" s="147" t="s">
        <v>623</v>
      </c>
      <c r="C11" s="335"/>
      <c r="H11" s="328">
        <v>28.28</v>
      </c>
    </row>
    <row r="12" spans="1:12" ht="15.75" thickBot="1" x14ac:dyDescent="0.3">
      <c r="A12" s="319" t="s">
        <v>398</v>
      </c>
      <c r="B12" s="147" t="s">
        <v>648</v>
      </c>
      <c r="C12" s="336"/>
      <c r="H12" s="327"/>
    </row>
    <row r="13" spans="1:12" ht="15.75" thickBot="1" x14ac:dyDescent="0.3">
      <c r="A13" s="274">
        <v>2</v>
      </c>
      <c r="B13" s="144" t="s">
        <v>657</v>
      </c>
      <c r="C13" s="264">
        <f>SUM(C14:C21)</f>
        <v>3.4750000000000001</v>
      </c>
      <c r="H13" s="327"/>
      <c r="L13" s="38"/>
    </row>
    <row r="14" spans="1:12" ht="15.75" thickBot="1" x14ac:dyDescent="0.3">
      <c r="A14" s="253" t="s">
        <v>77</v>
      </c>
      <c r="B14" s="147" t="s">
        <v>697</v>
      </c>
      <c r="C14" s="326">
        <v>1.65</v>
      </c>
      <c r="H14" s="327">
        <v>1.73</v>
      </c>
      <c r="L14" s="38"/>
    </row>
    <row r="15" spans="1:12" ht="15.75" thickBot="1" x14ac:dyDescent="0.3">
      <c r="A15" s="253" t="s">
        <v>82</v>
      </c>
      <c r="B15" s="147" t="s">
        <v>658</v>
      </c>
      <c r="C15" s="326">
        <v>0.65</v>
      </c>
      <c r="H15" s="327">
        <v>0.68</v>
      </c>
      <c r="L15" s="38"/>
    </row>
    <row r="16" spans="1:12" ht="15.75" thickBot="1" x14ac:dyDescent="0.3">
      <c r="A16" s="253" t="s">
        <v>83</v>
      </c>
      <c r="B16" s="147" t="s">
        <v>698</v>
      </c>
      <c r="C16" s="326">
        <v>0.3</v>
      </c>
      <c r="H16" s="327">
        <v>0.32</v>
      </c>
    </row>
    <row r="17" spans="1:8" ht="15.75" thickBot="1" x14ac:dyDescent="0.3">
      <c r="A17" s="253" t="s">
        <v>397</v>
      </c>
      <c r="B17" s="147" t="s">
        <v>699</v>
      </c>
      <c r="C17" s="326">
        <v>0.35</v>
      </c>
      <c r="H17" s="327">
        <v>0.37</v>
      </c>
    </row>
    <row r="18" spans="1:8" ht="15.75" thickBot="1" x14ac:dyDescent="0.3">
      <c r="A18" s="253" t="s">
        <v>398</v>
      </c>
      <c r="B18" s="147" t="s">
        <v>659</v>
      </c>
      <c r="C18" s="326">
        <v>0.18</v>
      </c>
      <c r="H18" s="327">
        <v>0.19</v>
      </c>
    </row>
    <row r="19" spans="1:8" ht="15.75" thickBot="1" x14ac:dyDescent="0.3">
      <c r="A19" s="253" t="s">
        <v>399</v>
      </c>
      <c r="B19" s="147" t="s">
        <v>700</v>
      </c>
      <c r="C19" s="326">
        <v>0.12</v>
      </c>
      <c r="H19" s="327">
        <v>0.13</v>
      </c>
    </row>
    <row r="20" spans="1:8" ht="15.75" thickBot="1" x14ac:dyDescent="0.3">
      <c r="A20" s="253" t="s">
        <v>580</v>
      </c>
      <c r="B20" s="147" t="s">
        <v>660</v>
      </c>
      <c r="C20" s="326">
        <v>0.06</v>
      </c>
      <c r="H20" s="327">
        <v>7.0000000000000007E-2</v>
      </c>
    </row>
    <row r="21" spans="1:8" ht="15.75" thickBot="1" x14ac:dyDescent="0.3">
      <c r="A21" s="253" t="s">
        <v>599</v>
      </c>
      <c r="B21" s="147" t="s">
        <v>701</v>
      </c>
      <c r="C21" s="326">
        <f>0.165</f>
        <v>0.16500000000000001</v>
      </c>
      <c r="H21" s="327"/>
    </row>
    <row r="22" spans="1:8" ht="15.75" thickBot="1" x14ac:dyDescent="0.3">
      <c r="A22" s="253"/>
      <c r="B22" s="147"/>
      <c r="C22" s="326"/>
      <c r="H22" s="314"/>
    </row>
    <row r="23" spans="1:8" ht="15.75" thickBot="1" x14ac:dyDescent="0.3">
      <c r="A23" s="142">
        <v>3</v>
      </c>
      <c r="B23" s="278" t="s">
        <v>661</v>
      </c>
      <c r="C23" s="279">
        <v>0</v>
      </c>
      <c r="H23" s="327">
        <v>0.3</v>
      </c>
    </row>
    <row r="24" spans="1:8" ht="15.75" thickBot="1" x14ac:dyDescent="0.3">
      <c r="A24" s="275" t="s">
        <v>77</v>
      </c>
      <c r="B24" s="273" t="s">
        <v>662</v>
      </c>
      <c r="C24" s="277">
        <v>0</v>
      </c>
      <c r="H24" s="327">
        <v>0.35</v>
      </c>
    </row>
    <row r="25" spans="1:8" ht="15" hidden="1" customHeight="1" x14ac:dyDescent="0.25">
      <c r="A25" s="142">
        <v>4</v>
      </c>
      <c r="B25" s="280" t="s">
        <v>600</v>
      </c>
      <c r="C25" s="279">
        <v>0</v>
      </c>
      <c r="H25" s="327">
        <v>0.35</v>
      </c>
    </row>
    <row r="26" spans="1:8" ht="15" hidden="1" customHeight="1" x14ac:dyDescent="0.25">
      <c r="A26" s="253" t="s">
        <v>77</v>
      </c>
      <c r="B26" s="276" t="s">
        <v>601</v>
      </c>
      <c r="C26" s="335"/>
      <c r="H26" s="327"/>
    </row>
    <row r="27" spans="1:8" ht="15" hidden="1" customHeight="1" x14ac:dyDescent="0.25">
      <c r="A27" s="253" t="s">
        <v>82</v>
      </c>
      <c r="B27" s="273" t="s">
        <v>602</v>
      </c>
      <c r="C27" s="335"/>
      <c r="H27" s="327">
        <v>5</v>
      </c>
    </row>
    <row r="28" spans="1:8" ht="15" hidden="1" customHeight="1" x14ac:dyDescent="0.3">
      <c r="A28" s="253" t="s">
        <v>83</v>
      </c>
      <c r="B28" s="6" t="s">
        <v>603</v>
      </c>
      <c r="C28" s="336"/>
      <c r="H28" s="327">
        <v>2.0099999999999998</v>
      </c>
    </row>
    <row r="29" spans="1:8" ht="15" customHeight="1" thickBot="1" x14ac:dyDescent="0.3">
      <c r="A29" s="253"/>
      <c r="B29" s="6"/>
      <c r="C29" s="318"/>
      <c r="H29" s="327">
        <v>3</v>
      </c>
    </row>
    <row r="30" spans="1:8" ht="15.75" thickBot="1" x14ac:dyDescent="0.3">
      <c r="A30" s="142">
        <v>4</v>
      </c>
      <c r="B30" s="144" t="s">
        <v>582</v>
      </c>
      <c r="C30" s="264">
        <v>0</v>
      </c>
      <c r="H30" s="314">
        <v>2.0099999999999998</v>
      </c>
    </row>
    <row r="31" spans="1:8" ht="15.75" thickBot="1" x14ac:dyDescent="0.3">
      <c r="A31" s="145" t="s">
        <v>77</v>
      </c>
      <c r="B31" s="147" t="s">
        <v>553</v>
      </c>
      <c r="C31" s="333"/>
      <c r="H31" s="327"/>
    </row>
    <row r="32" spans="1:8" ht="15.75" thickBot="1" x14ac:dyDescent="0.3">
      <c r="A32" s="145" t="s">
        <v>82</v>
      </c>
      <c r="B32" s="147" t="s">
        <v>554</v>
      </c>
      <c r="C32" s="333"/>
      <c r="H32" s="327"/>
    </row>
    <row r="33" spans="1:8" ht="15" hidden="1" customHeight="1" x14ac:dyDescent="0.25">
      <c r="A33" s="142">
        <v>5</v>
      </c>
      <c r="B33" s="144" t="s">
        <v>604</v>
      </c>
      <c r="C33" s="264">
        <v>0</v>
      </c>
      <c r="H33" s="327"/>
    </row>
    <row r="34" spans="1:8" ht="15" hidden="1" customHeight="1" x14ac:dyDescent="0.25">
      <c r="A34" s="43" t="s">
        <v>77</v>
      </c>
      <c r="B34" s="147" t="s">
        <v>629</v>
      </c>
      <c r="C34" s="334"/>
      <c r="H34" s="327"/>
    </row>
    <row r="35" spans="1:8" ht="15" hidden="1" customHeight="1" x14ac:dyDescent="0.25">
      <c r="A35" s="43" t="s">
        <v>82</v>
      </c>
      <c r="B35" s="147" t="s">
        <v>605</v>
      </c>
      <c r="C35" s="335"/>
      <c r="H35" s="327"/>
    </row>
    <row r="36" spans="1:8" ht="15" hidden="1" customHeight="1" x14ac:dyDescent="0.25">
      <c r="A36" s="43" t="s">
        <v>83</v>
      </c>
      <c r="B36" s="147" t="s">
        <v>630</v>
      </c>
      <c r="C36" s="297"/>
      <c r="H36" s="327"/>
    </row>
    <row r="37" spans="1:8" x14ac:dyDescent="0.25">
      <c r="A37" s="142">
        <v>6</v>
      </c>
      <c r="B37" s="144" t="s">
        <v>556</v>
      </c>
      <c r="C37" s="264">
        <f>+(C6+C13)*0.05</f>
        <v>1.5877500000000002</v>
      </c>
    </row>
    <row r="38" spans="1:8" x14ac:dyDescent="0.25">
      <c r="A38" s="145"/>
      <c r="B38" s="148" t="s">
        <v>555</v>
      </c>
      <c r="C38" s="264">
        <f>+C6+C13+C23+C30+C37</f>
        <v>33.342750000000002</v>
      </c>
    </row>
    <row r="39" spans="1:8" ht="15" customHeight="1" x14ac:dyDescent="0.25">
      <c r="A39" s="149"/>
      <c r="B39" s="150"/>
      <c r="C39" s="151"/>
    </row>
    <row r="40" spans="1:8" x14ac:dyDescent="0.25">
      <c r="A40" s="149"/>
      <c r="B40" s="152" t="s">
        <v>583</v>
      </c>
      <c r="C40" s="281">
        <f>+'Project Glance'!B13</f>
        <v>1.9474651041666671</v>
      </c>
    </row>
    <row r="41" spans="1:8" x14ac:dyDescent="0.25">
      <c r="A41" s="331"/>
      <c r="B41" s="332"/>
      <c r="C41" s="153"/>
    </row>
    <row r="42" spans="1:8" ht="15" customHeight="1" x14ac:dyDescent="0.25">
      <c r="A42" s="142"/>
      <c r="B42" s="154"/>
      <c r="C42" s="142"/>
    </row>
    <row r="43" spans="1:8" x14ac:dyDescent="0.25">
      <c r="A43" s="155"/>
      <c r="B43" s="156"/>
      <c r="C43" s="155"/>
    </row>
    <row r="44" spans="1:8" x14ac:dyDescent="0.25">
      <c r="A44" s="157"/>
      <c r="B44" s="158"/>
      <c r="C44" s="157"/>
    </row>
    <row r="45" spans="1:8" x14ac:dyDescent="0.25">
      <c r="A45" s="155"/>
      <c r="B45" s="159"/>
      <c r="C45" s="155"/>
    </row>
    <row r="46" spans="1:8" x14ac:dyDescent="0.25">
      <c r="A46" s="155"/>
      <c r="B46" s="160"/>
      <c r="C46" s="161"/>
    </row>
    <row r="47" spans="1:8" x14ac:dyDescent="0.25">
      <c r="A47" s="23"/>
      <c r="B47" s="23"/>
      <c r="C47" s="23"/>
    </row>
    <row r="48" spans="1:8" x14ac:dyDescent="0.25">
      <c r="A48" s="23"/>
      <c r="B48" s="141"/>
      <c r="C48" s="23"/>
    </row>
    <row r="49" spans="7:13" ht="15.75" thickBot="1" x14ac:dyDescent="0.3"/>
    <row r="50" spans="7:13" ht="15.75" thickBot="1" x14ac:dyDescent="0.3">
      <c r="G50" s="302" t="s">
        <v>635</v>
      </c>
      <c r="H50" s="303"/>
      <c r="I50" s="303"/>
      <c r="J50" s="303"/>
      <c r="K50" s="303"/>
      <c r="L50" s="303"/>
      <c r="M50" s="303"/>
    </row>
    <row r="51" spans="7:13" ht="29.25" thickBot="1" x14ac:dyDescent="0.3">
      <c r="G51" s="304">
        <v>1</v>
      </c>
      <c r="H51" s="305"/>
      <c r="I51" s="306" t="s">
        <v>636</v>
      </c>
      <c r="J51" s="306" t="s">
        <v>637</v>
      </c>
      <c r="K51" s="306">
        <v>1</v>
      </c>
      <c r="L51" s="306" t="s">
        <v>638</v>
      </c>
      <c r="M51" s="306">
        <v>127.74</v>
      </c>
    </row>
    <row r="52" spans="7:13" ht="15.75" thickBot="1" x14ac:dyDescent="0.3">
      <c r="G52" s="304"/>
      <c r="H52" s="305"/>
      <c r="I52" s="306"/>
      <c r="J52" s="306"/>
      <c r="K52" s="306"/>
      <c r="L52" s="306"/>
      <c r="M52" s="306"/>
    </row>
    <row r="53" spans="7:13" ht="15.75" thickBot="1" x14ac:dyDescent="0.3">
      <c r="G53" s="307"/>
      <c r="H53" s="305"/>
      <c r="I53" s="306"/>
      <c r="J53" s="306"/>
      <c r="K53" s="306"/>
      <c r="L53" s="306"/>
      <c r="M53" s="306"/>
    </row>
    <row r="54" spans="7:13" ht="15.75" thickBot="1" x14ac:dyDescent="0.3">
      <c r="G54" s="308" t="s">
        <v>639</v>
      </c>
      <c r="H54" s="309"/>
      <c r="I54" s="306"/>
      <c r="J54" s="306"/>
      <c r="K54" s="310"/>
      <c r="L54" s="310"/>
      <c r="M54" s="310"/>
    </row>
    <row r="55" spans="7:13" ht="15.75" thickBot="1" x14ac:dyDescent="0.3">
      <c r="G55" s="304">
        <v>1</v>
      </c>
      <c r="H55" s="305"/>
      <c r="I55" s="306"/>
      <c r="J55" s="306">
        <v>3.4</v>
      </c>
      <c r="K55" s="306">
        <v>1</v>
      </c>
      <c r="L55" s="311">
        <v>0.17</v>
      </c>
      <c r="M55" s="306">
        <v>3.57</v>
      </c>
    </row>
    <row r="56" spans="7:13" ht="15.75" thickBot="1" x14ac:dyDescent="0.3">
      <c r="G56" s="304">
        <v>2</v>
      </c>
      <c r="H56" s="305"/>
      <c r="I56" s="306"/>
      <c r="J56" s="306">
        <v>0.7</v>
      </c>
      <c r="K56" s="306">
        <v>1</v>
      </c>
      <c r="L56" s="311">
        <v>0.04</v>
      </c>
      <c r="M56" s="306">
        <v>0.74</v>
      </c>
    </row>
    <row r="57" spans="7:13" ht="15.75" thickBot="1" x14ac:dyDescent="0.3">
      <c r="G57" s="304">
        <v>3</v>
      </c>
      <c r="H57" s="305"/>
      <c r="I57" s="306"/>
      <c r="J57" s="306">
        <v>3.56</v>
      </c>
      <c r="K57" s="306">
        <v>1</v>
      </c>
      <c r="L57" s="311">
        <v>0.18</v>
      </c>
      <c r="M57" s="306">
        <v>3.74</v>
      </c>
    </row>
    <row r="58" spans="7:13" ht="15.75" thickBot="1" x14ac:dyDescent="0.3">
      <c r="G58" s="304">
        <v>4</v>
      </c>
      <c r="H58" s="305"/>
      <c r="I58" s="306"/>
      <c r="J58" s="306">
        <v>0.56999999999999995</v>
      </c>
      <c r="K58" s="306">
        <v>1</v>
      </c>
      <c r="L58" s="311">
        <v>0.03</v>
      </c>
      <c r="M58" s="306">
        <v>0.6</v>
      </c>
    </row>
    <row r="59" spans="7:13" ht="15.75" thickBot="1" x14ac:dyDescent="0.3">
      <c r="G59" s="304">
        <v>5</v>
      </c>
      <c r="H59" s="305"/>
      <c r="I59" s="306"/>
      <c r="J59" s="306">
        <v>1.62</v>
      </c>
      <c r="K59" s="306">
        <v>1</v>
      </c>
      <c r="L59" s="311">
        <v>0.08</v>
      </c>
      <c r="M59" s="306">
        <v>1.7</v>
      </c>
    </row>
    <row r="60" spans="7:13" ht="15.75" thickBot="1" x14ac:dyDescent="0.3">
      <c r="G60" s="304">
        <v>6</v>
      </c>
      <c r="H60" s="305"/>
      <c r="I60" s="306"/>
      <c r="J60" s="306">
        <v>0.17</v>
      </c>
      <c r="K60" s="306">
        <v>1</v>
      </c>
      <c r="L60" s="311">
        <v>0.01</v>
      </c>
      <c r="M60" s="306">
        <v>0.18</v>
      </c>
    </row>
    <row r="61" spans="7:13" ht="15.75" thickBot="1" x14ac:dyDescent="0.3">
      <c r="G61" s="304">
        <v>7</v>
      </c>
      <c r="H61" s="305"/>
      <c r="I61" s="306"/>
      <c r="J61" s="306">
        <v>2.33</v>
      </c>
      <c r="K61" s="306">
        <v>1</v>
      </c>
      <c r="L61" s="311">
        <v>0.12</v>
      </c>
      <c r="M61" s="306">
        <v>2.4500000000000002</v>
      </c>
    </row>
    <row r="62" spans="7:13" ht="15.75" thickBot="1" x14ac:dyDescent="0.3">
      <c r="G62" s="304">
        <v>8</v>
      </c>
      <c r="H62" s="305"/>
      <c r="I62" s="306"/>
      <c r="J62" s="306">
        <v>0.16</v>
      </c>
      <c r="K62" s="306">
        <v>1</v>
      </c>
      <c r="L62" s="311">
        <v>0.01</v>
      </c>
      <c r="M62" s="306">
        <v>0.17</v>
      </c>
    </row>
    <row r="63" spans="7:13" ht="15.75" thickBot="1" x14ac:dyDescent="0.3">
      <c r="G63" s="304">
        <v>9</v>
      </c>
      <c r="H63" s="305"/>
      <c r="I63" s="306"/>
      <c r="J63" s="306">
        <v>2.44</v>
      </c>
      <c r="K63" s="306">
        <v>1</v>
      </c>
      <c r="L63" s="311">
        <v>0.12</v>
      </c>
      <c r="M63" s="306">
        <v>2.56</v>
      </c>
    </row>
    <row r="64" spans="7:13" ht="15.75" thickBot="1" x14ac:dyDescent="0.3">
      <c r="G64" s="304">
        <v>10</v>
      </c>
      <c r="H64" s="305"/>
      <c r="I64" s="306"/>
      <c r="J64" s="306">
        <v>0.11</v>
      </c>
      <c r="K64" s="306">
        <v>1</v>
      </c>
      <c r="L64" s="311">
        <v>0.01</v>
      </c>
      <c r="M64" s="306">
        <v>0.12</v>
      </c>
    </row>
    <row r="65" spans="7:13" ht="15.75" thickBot="1" x14ac:dyDescent="0.3">
      <c r="G65" s="304">
        <v>11</v>
      </c>
      <c r="H65" s="305"/>
      <c r="I65" s="306"/>
      <c r="J65" s="306">
        <v>2.58</v>
      </c>
      <c r="K65" s="306">
        <v>2</v>
      </c>
      <c r="L65" s="311">
        <v>0.26</v>
      </c>
      <c r="M65" s="306">
        <v>5.42</v>
      </c>
    </row>
    <row r="66" spans="7:13" ht="15.75" thickBot="1" x14ac:dyDescent="0.3">
      <c r="G66" s="304">
        <v>12</v>
      </c>
      <c r="H66" s="305"/>
      <c r="I66" s="306"/>
      <c r="J66" s="306">
        <v>0.81</v>
      </c>
      <c r="K66" s="306">
        <v>2</v>
      </c>
      <c r="L66" s="311">
        <v>0.08</v>
      </c>
      <c r="M66" s="306">
        <v>1.7</v>
      </c>
    </row>
    <row r="67" spans="7:13" ht="15.75" thickBot="1" x14ac:dyDescent="0.3">
      <c r="G67" s="304">
        <v>13</v>
      </c>
      <c r="H67" s="305"/>
      <c r="I67" s="306"/>
      <c r="J67" s="306">
        <v>0.74</v>
      </c>
      <c r="K67" s="306">
        <v>1</v>
      </c>
      <c r="L67" s="311">
        <v>0.04</v>
      </c>
      <c r="M67" s="306">
        <v>0.78</v>
      </c>
    </row>
    <row r="68" spans="7:13" ht="15.75" thickBot="1" x14ac:dyDescent="0.3">
      <c r="G68" s="304">
        <v>14</v>
      </c>
      <c r="H68" s="305"/>
      <c r="I68" s="306"/>
      <c r="J68" s="306">
        <v>0.46</v>
      </c>
      <c r="K68" s="306">
        <v>1</v>
      </c>
      <c r="L68" s="311">
        <v>0.02</v>
      </c>
      <c r="M68" s="306">
        <v>0.48</v>
      </c>
    </row>
    <row r="69" spans="7:13" ht="15.75" thickBot="1" x14ac:dyDescent="0.3">
      <c r="G69" s="304">
        <v>15</v>
      </c>
      <c r="H69" s="305"/>
      <c r="I69" s="306"/>
      <c r="J69" s="306">
        <v>0.66</v>
      </c>
      <c r="K69" s="306">
        <v>1</v>
      </c>
      <c r="L69" s="311">
        <v>0.03</v>
      </c>
      <c r="M69" s="306">
        <v>0.69</v>
      </c>
    </row>
    <row r="70" spans="7:13" ht="15.75" thickBot="1" x14ac:dyDescent="0.3">
      <c r="G70" s="304">
        <v>16</v>
      </c>
      <c r="H70" s="305"/>
      <c r="I70" s="306"/>
      <c r="J70" s="306">
        <v>1.46</v>
      </c>
      <c r="K70" s="306">
        <v>1</v>
      </c>
      <c r="L70" s="306">
        <v>7.0000000000000007E-2</v>
      </c>
      <c r="M70" s="306">
        <v>1.53</v>
      </c>
    </row>
    <row r="71" spans="7:13" ht="15.75" thickBot="1" x14ac:dyDescent="0.3">
      <c r="G71" s="304">
        <v>17</v>
      </c>
      <c r="H71" s="305"/>
      <c r="I71" s="306"/>
      <c r="J71" s="306">
        <v>5</v>
      </c>
      <c r="K71" s="306">
        <v>1</v>
      </c>
      <c r="L71" s="306">
        <v>0.25</v>
      </c>
      <c r="M71" s="306">
        <v>5.25</v>
      </c>
    </row>
    <row r="72" spans="7:13" ht="15.75" thickBot="1" x14ac:dyDescent="0.3">
      <c r="G72" s="304">
        <v>18</v>
      </c>
      <c r="H72" s="305"/>
      <c r="I72" s="306"/>
      <c r="J72" s="306">
        <v>1</v>
      </c>
      <c r="K72" s="306">
        <v>10</v>
      </c>
      <c r="L72" s="306">
        <v>0.5</v>
      </c>
      <c r="M72" s="306">
        <v>10.5</v>
      </c>
    </row>
    <row r="73" spans="7:13" ht="15.75" thickBot="1" x14ac:dyDescent="0.3">
      <c r="G73" s="307">
        <v>19</v>
      </c>
      <c r="H73" s="305"/>
      <c r="I73" s="306"/>
      <c r="J73" s="306">
        <v>1.2</v>
      </c>
      <c r="K73" s="306">
        <v>1</v>
      </c>
      <c r="L73" s="306">
        <v>0.06</v>
      </c>
      <c r="M73" s="306">
        <v>1.26</v>
      </c>
    </row>
    <row r="74" spans="7:13" ht="15.75" thickBot="1" x14ac:dyDescent="0.3">
      <c r="G74" s="307">
        <v>20</v>
      </c>
      <c r="H74" s="305"/>
      <c r="I74" s="306"/>
      <c r="J74" s="306">
        <v>8.9</v>
      </c>
      <c r="K74" s="306">
        <v>1</v>
      </c>
      <c r="L74" s="311">
        <v>1.6</v>
      </c>
      <c r="M74" s="306">
        <v>10.5</v>
      </c>
    </row>
    <row r="75" spans="7:13" ht="15.75" thickBot="1" x14ac:dyDescent="0.3">
      <c r="G75" s="307">
        <v>21</v>
      </c>
      <c r="H75" s="305"/>
      <c r="I75" s="306"/>
      <c r="J75" s="306">
        <v>4.8</v>
      </c>
      <c r="K75" s="306">
        <v>1</v>
      </c>
      <c r="L75" s="311">
        <v>0.86</v>
      </c>
      <c r="M75" s="306">
        <v>5.66</v>
      </c>
    </row>
    <row r="76" spans="7:13" ht="15.75" thickBot="1" x14ac:dyDescent="0.3">
      <c r="G76" s="307">
        <v>22</v>
      </c>
      <c r="H76" s="305"/>
      <c r="I76" s="306"/>
      <c r="J76" s="306">
        <v>8.4700000000000006</v>
      </c>
      <c r="K76" s="306" t="s">
        <v>640</v>
      </c>
      <c r="L76" s="311">
        <v>1.53</v>
      </c>
      <c r="M76" s="306">
        <v>10</v>
      </c>
    </row>
    <row r="77" spans="7:13" ht="15.75" thickBot="1" x14ac:dyDescent="0.3">
      <c r="G77" s="307"/>
      <c r="H77" s="312"/>
      <c r="I77" s="306"/>
      <c r="J77" s="306"/>
      <c r="K77" s="306"/>
      <c r="L77" s="311"/>
      <c r="M77" s="306"/>
    </row>
    <row r="78" spans="7:13" ht="15.75" thickBot="1" x14ac:dyDescent="0.3">
      <c r="G78" s="308" t="s">
        <v>641</v>
      </c>
      <c r="H78" s="309"/>
      <c r="I78" s="310"/>
      <c r="J78" s="310"/>
      <c r="K78" s="310"/>
      <c r="L78" s="310"/>
      <c r="M78" s="310"/>
    </row>
    <row r="79" spans="7:13" ht="84" customHeight="1" x14ac:dyDescent="0.25">
      <c r="G79" s="337">
        <v>1</v>
      </c>
      <c r="H79" s="339"/>
      <c r="I79" s="337" t="s">
        <v>642</v>
      </c>
      <c r="J79" s="337">
        <v>0.3</v>
      </c>
      <c r="K79" s="313" t="s">
        <v>643</v>
      </c>
      <c r="L79" s="337" t="s">
        <v>638</v>
      </c>
      <c r="M79" s="337">
        <v>0.3</v>
      </c>
    </row>
    <row r="80" spans="7:13" ht="15.75" thickBot="1" x14ac:dyDescent="0.3">
      <c r="G80" s="338"/>
      <c r="H80" s="340"/>
      <c r="I80" s="338"/>
      <c r="J80" s="338"/>
      <c r="K80" s="306" t="s">
        <v>644</v>
      </c>
      <c r="L80" s="338"/>
      <c r="M80" s="338"/>
    </row>
    <row r="81" spans="7:13" ht="15.75" thickBot="1" x14ac:dyDescent="0.3">
      <c r="G81" s="314" t="s">
        <v>645</v>
      </c>
      <c r="H81" s="309"/>
      <c r="I81" s="306" t="s">
        <v>640</v>
      </c>
      <c r="J81" s="306" t="s">
        <v>640</v>
      </c>
      <c r="K81" s="306" t="s">
        <v>640</v>
      </c>
      <c r="L81" s="306" t="s">
        <v>640</v>
      </c>
      <c r="M81" s="306" t="s">
        <v>640</v>
      </c>
    </row>
    <row r="82" spans="7:13" x14ac:dyDescent="0.25">
      <c r="G82" s="337">
        <v>1</v>
      </c>
      <c r="H82" s="339"/>
      <c r="I82" s="341" t="s">
        <v>642</v>
      </c>
      <c r="J82" s="337">
        <v>6.46</v>
      </c>
      <c r="K82" s="315" t="s">
        <v>643</v>
      </c>
      <c r="L82" s="341" t="s">
        <v>638</v>
      </c>
      <c r="M82" s="337">
        <v>6.46</v>
      </c>
    </row>
    <row r="83" spans="7:13" ht="15.75" thickBot="1" x14ac:dyDescent="0.3">
      <c r="G83" s="338"/>
      <c r="H83" s="340"/>
      <c r="I83" s="342"/>
      <c r="J83" s="338"/>
      <c r="K83" s="316" t="s">
        <v>644</v>
      </c>
      <c r="L83" s="342"/>
      <c r="M83" s="338"/>
    </row>
    <row r="84" spans="7:13" ht="15.75" thickBot="1" x14ac:dyDescent="0.3">
      <c r="G84" s="314" t="s">
        <v>646</v>
      </c>
      <c r="H84" s="309"/>
      <c r="I84" s="306" t="s">
        <v>642</v>
      </c>
      <c r="J84" s="306">
        <v>5</v>
      </c>
      <c r="K84" s="306" t="s">
        <v>642</v>
      </c>
      <c r="L84" s="311" t="s">
        <v>638</v>
      </c>
      <c r="M84" s="306">
        <v>5</v>
      </c>
    </row>
    <row r="85" spans="7:13" ht="15.75" thickBot="1" x14ac:dyDescent="0.3">
      <c r="G85" s="314" t="s">
        <v>647</v>
      </c>
      <c r="H85" s="309"/>
      <c r="I85" s="306" t="s">
        <v>640</v>
      </c>
      <c r="J85" s="306" t="s">
        <v>640</v>
      </c>
      <c r="K85" s="306" t="s">
        <v>640</v>
      </c>
      <c r="L85" s="306" t="s">
        <v>640</v>
      </c>
      <c r="M85" s="306" t="s">
        <v>640</v>
      </c>
    </row>
    <row r="86" spans="7:13" ht="15.75" thickBot="1" x14ac:dyDescent="0.3">
      <c r="G86" s="307"/>
      <c r="H86" s="317"/>
      <c r="I86" s="310"/>
      <c r="J86" s="310"/>
      <c r="K86" s="310"/>
      <c r="L86" s="310"/>
      <c r="M86" s="310">
        <v>209.1</v>
      </c>
    </row>
  </sheetData>
  <mergeCells count="17">
    <mergeCell ref="M79:M80"/>
    <mergeCell ref="G82:G83"/>
    <mergeCell ref="H82:H83"/>
    <mergeCell ref="I82:I83"/>
    <mergeCell ref="J82:J83"/>
    <mergeCell ref="L82:L83"/>
    <mergeCell ref="M82:M83"/>
    <mergeCell ref="G79:G80"/>
    <mergeCell ref="H79:H80"/>
    <mergeCell ref="I79:I80"/>
    <mergeCell ref="J79:J80"/>
    <mergeCell ref="L79:L80"/>
    <mergeCell ref="A41:B41"/>
    <mergeCell ref="C31:C32"/>
    <mergeCell ref="C34:C35"/>
    <mergeCell ref="C26:C28"/>
    <mergeCell ref="C7:C12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topLeftCell="A11" zoomScale="70" zoomScaleNormal="100" zoomScaleSheetLayoutView="70" workbookViewId="0">
      <selection sqref="A1:L45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6" width="12.28515625" style="1" bestFit="1" customWidth="1"/>
    <col min="7" max="7" width="13.42578125" style="1" bestFit="1" customWidth="1"/>
    <col min="8" max="8" width="12.5703125" style="1" bestFit="1" customWidth="1"/>
    <col min="9" max="12" width="13.42578125" style="1" bestFit="1" customWidth="1"/>
    <col min="13" max="16384" width="9.140625" style="1"/>
  </cols>
  <sheetData>
    <row r="1" spans="1:12" x14ac:dyDescent="0.25">
      <c r="A1" s="46" t="s">
        <v>76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22" t="s">
        <v>42</v>
      </c>
      <c r="J1" s="222" t="s">
        <v>490</v>
      </c>
      <c r="K1" s="222" t="s">
        <v>491</v>
      </c>
      <c r="L1" s="222" t="s">
        <v>492</v>
      </c>
    </row>
    <row r="2" spans="1:12" s="324" customFormat="1" x14ac:dyDescent="0.25">
      <c r="A2" s="321"/>
      <c r="B2" s="322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2" s="324" customFormat="1" x14ac:dyDescent="0.25">
      <c r="A3" s="321"/>
      <c r="B3" s="325"/>
      <c r="C3" s="323"/>
      <c r="D3" s="323"/>
      <c r="E3" s="323"/>
      <c r="F3" s="323"/>
      <c r="G3" s="323"/>
      <c r="H3" s="323"/>
      <c r="I3" s="323"/>
      <c r="J3" s="323"/>
      <c r="K3" s="323"/>
      <c r="L3" s="323"/>
    </row>
    <row r="4" spans="1:12" x14ac:dyDescent="0.25">
      <c r="A4" s="7" t="s">
        <v>77</v>
      </c>
      <c r="B4" s="26" t="str">
        <f>'CS-FG'!B4</f>
        <v>Tur Dall</v>
      </c>
      <c r="C4" s="36">
        <f>'CS-FG'!C7</f>
        <v>71</v>
      </c>
      <c r="D4" s="36">
        <f>'CS-FG'!D7</f>
        <v>74</v>
      </c>
      <c r="E4" s="36">
        <f>'CS-FG'!E7</f>
        <v>79</v>
      </c>
      <c r="F4" s="36">
        <f>'CS-FG'!F7</f>
        <v>83</v>
      </c>
      <c r="G4" s="36">
        <f>'CS-FG'!G7</f>
        <v>89</v>
      </c>
      <c r="H4" s="36">
        <f>'CS-FG'!H7</f>
        <v>94</v>
      </c>
      <c r="I4" s="36">
        <f>'CS-FG'!I7</f>
        <v>99</v>
      </c>
      <c r="J4" s="36">
        <f>'CS-FG'!J7</f>
        <v>99</v>
      </c>
      <c r="K4" s="36">
        <f>'CS-FG'!K7</f>
        <v>99</v>
      </c>
      <c r="L4" s="36">
        <f>'CS-FG'!L7</f>
        <v>99</v>
      </c>
    </row>
    <row r="5" spans="1:12" x14ac:dyDescent="0.25">
      <c r="A5" s="6"/>
      <c r="B5" s="36" t="s">
        <v>74</v>
      </c>
      <c r="C5" s="42">
        <f>'CS-FG'!C35</f>
        <v>85000</v>
      </c>
      <c r="D5" s="42">
        <f>'CS-FG'!D35</f>
        <v>89250</v>
      </c>
      <c r="E5" s="42">
        <f>'CS-FG'!E35</f>
        <v>93710</v>
      </c>
      <c r="F5" s="42">
        <f>'CS-FG'!F35</f>
        <v>98400</v>
      </c>
      <c r="G5" s="42">
        <f>'CS-FG'!G35</f>
        <v>103320</v>
      </c>
      <c r="H5" s="42">
        <f>'CS-FG'!H35</f>
        <v>108490</v>
      </c>
      <c r="I5" s="42">
        <f>'CS-FG'!I35</f>
        <v>113910</v>
      </c>
      <c r="J5" s="42">
        <f>'CS-FG'!J35</f>
        <v>119610</v>
      </c>
      <c r="K5" s="42">
        <f>'CS-FG'!K35</f>
        <v>125590</v>
      </c>
      <c r="L5" s="42">
        <f>'CS-FG'!L35</f>
        <v>131870</v>
      </c>
    </row>
    <row r="6" spans="1:12" x14ac:dyDescent="0.25">
      <c r="A6" s="6"/>
      <c r="B6" s="26" t="s">
        <v>86</v>
      </c>
      <c r="C6" s="41">
        <f>C4*C5/100000</f>
        <v>60.35</v>
      </c>
      <c r="D6" s="41">
        <f t="shared" ref="D6:I6" si="0">D4*D5/100000</f>
        <v>66.045000000000002</v>
      </c>
      <c r="E6" s="41">
        <f t="shared" si="0"/>
        <v>74.030900000000003</v>
      </c>
      <c r="F6" s="41">
        <f t="shared" si="0"/>
        <v>81.671999999999997</v>
      </c>
      <c r="G6" s="41">
        <f t="shared" si="0"/>
        <v>91.954800000000006</v>
      </c>
      <c r="H6" s="41">
        <f t="shared" si="0"/>
        <v>101.9806</v>
      </c>
      <c r="I6" s="41">
        <f t="shared" si="0"/>
        <v>112.7709</v>
      </c>
      <c r="J6" s="41">
        <f t="shared" ref="J6:L6" si="1">J4*J5/100000</f>
        <v>118.4139</v>
      </c>
      <c r="K6" s="41">
        <f t="shared" si="1"/>
        <v>124.33410000000001</v>
      </c>
      <c r="L6" s="41">
        <f t="shared" si="1"/>
        <v>130.5513</v>
      </c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7" t="s">
        <v>82</v>
      </c>
      <c r="B8" s="26" t="str">
        <f>'CS-FG'!B10</f>
        <v>Cattle Feed</v>
      </c>
      <c r="C8" s="36">
        <f>'CS-FG'!C13</f>
        <v>24</v>
      </c>
      <c r="D8" s="36">
        <f>'CS-FG'!D13</f>
        <v>25</v>
      </c>
      <c r="E8" s="36">
        <f>'CS-FG'!E13</f>
        <v>27</v>
      </c>
      <c r="F8" s="36">
        <f>'CS-FG'!F13</f>
        <v>29</v>
      </c>
      <c r="G8" s="36">
        <f>'CS-FG'!G13</f>
        <v>30</v>
      </c>
      <c r="H8" s="36">
        <f>'CS-FG'!H13</f>
        <v>32</v>
      </c>
      <c r="I8" s="36">
        <f>'CS-FG'!I13</f>
        <v>34</v>
      </c>
      <c r="J8" s="36">
        <f>'CS-FG'!J13</f>
        <v>34</v>
      </c>
      <c r="K8" s="36">
        <f>'CS-FG'!K13</f>
        <v>34</v>
      </c>
      <c r="L8" s="36">
        <f>'CS-FG'!L13</f>
        <v>34</v>
      </c>
    </row>
    <row r="9" spans="1:12" x14ac:dyDescent="0.25">
      <c r="A9" s="6"/>
      <c r="B9" s="36" t="s">
        <v>74</v>
      </c>
      <c r="C9" s="42">
        <f>'CS-FG'!C36</f>
        <v>20000</v>
      </c>
      <c r="D9" s="42">
        <f>'CS-FG'!D36</f>
        <v>21000</v>
      </c>
      <c r="E9" s="42">
        <f>'CS-FG'!E36</f>
        <v>22050</v>
      </c>
      <c r="F9" s="42">
        <f>'CS-FG'!F36</f>
        <v>23150</v>
      </c>
      <c r="G9" s="42">
        <f>'CS-FG'!G36</f>
        <v>24310</v>
      </c>
      <c r="H9" s="42">
        <f>'CS-FG'!H36</f>
        <v>25530</v>
      </c>
      <c r="I9" s="42">
        <f>'CS-FG'!I36</f>
        <v>26810</v>
      </c>
      <c r="J9" s="42">
        <f>'CS-FG'!J36</f>
        <v>28150</v>
      </c>
      <c r="K9" s="42">
        <f>'CS-FG'!K36</f>
        <v>29560</v>
      </c>
      <c r="L9" s="42">
        <f>'CS-FG'!L36</f>
        <v>31040</v>
      </c>
    </row>
    <row r="10" spans="1:12" x14ac:dyDescent="0.25">
      <c r="A10" s="6"/>
      <c r="B10" s="26" t="s">
        <v>86</v>
      </c>
      <c r="C10" s="41">
        <f>C8*C9/100000</f>
        <v>4.8</v>
      </c>
      <c r="D10" s="41">
        <f t="shared" ref="D10:I10" si="2">D8*D9/100000</f>
        <v>5.25</v>
      </c>
      <c r="E10" s="41">
        <f t="shared" si="2"/>
        <v>5.9535</v>
      </c>
      <c r="F10" s="41">
        <f t="shared" si="2"/>
        <v>6.7134999999999998</v>
      </c>
      <c r="G10" s="41">
        <f t="shared" si="2"/>
        <v>7.2930000000000001</v>
      </c>
      <c r="H10" s="41">
        <f t="shared" si="2"/>
        <v>8.1696000000000009</v>
      </c>
      <c r="I10" s="41">
        <f t="shared" si="2"/>
        <v>9.1153999999999993</v>
      </c>
      <c r="J10" s="41">
        <f t="shared" ref="J10:L10" si="3">J8*J9/100000</f>
        <v>9.5709999999999997</v>
      </c>
      <c r="K10" s="41">
        <f t="shared" si="3"/>
        <v>10.0504</v>
      </c>
      <c r="L10" s="41">
        <f t="shared" si="3"/>
        <v>10.553599999999999</v>
      </c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idden="1" x14ac:dyDescent="0.25">
      <c r="A12" s="7" t="s">
        <v>83</v>
      </c>
      <c r="B12" s="26" t="str">
        <f>'CS-FG'!B16</f>
        <v>Bhusa</v>
      </c>
      <c r="C12" s="36">
        <f>'CS-FG'!C19</f>
        <v>0</v>
      </c>
      <c r="D12" s="36">
        <f>'CS-FG'!D19</f>
        <v>0</v>
      </c>
      <c r="E12" s="36">
        <f>'CS-FG'!E19</f>
        <v>0</v>
      </c>
      <c r="F12" s="36">
        <f>'CS-FG'!F19</f>
        <v>0</v>
      </c>
      <c r="G12" s="36">
        <f>'CS-FG'!G19</f>
        <v>0</v>
      </c>
      <c r="H12" s="36">
        <f>'CS-FG'!H19</f>
        <v>0</v>
      </c>
      <c r="I12" s="36">
        <f>'CS-FG'!I19</f>
        <v>0</v>
      </c>
      <c r="J12" s="36">
        <f>'CS-FG'!J19</f>
        <v>0</v>
      </c>
      <c r="K12" s="36">
        <f>'CS-FG'!K19</f>
        <v>0</v>
      </c>
      <c r="L12" s="36">
        <f>'CS-FG'!L19</f>
        <v>0</v>
      </c>
    </row>
    <row r="13" spans="1:12" hidden="1" x14ac:dyDescent="0.25">
      <c r="A13" s="6"/>
      <c r="B13" s="36" t="s">
        <v>74</v>
      </c>
      <c r="C13" s="42">
        <f>'CS-FG'!C37</f>
        <v>0</v>
      </c>
      <c r="D13" s="42">
        <f>'CS-FG'!D37</f>
        <v>0</v>
      </c>
      <c r="E13" s="42">
        <f>'CS-FG'!E37</f>
        <v>0</v>
      </c>
      <c r="F13" s="42">
        <f>'CS-FG'!F37</f>
        <v>0</v>
      </c>
      <c r="G13" s="42">
        <f>'CS-FG'!G37</f>
        <v>0</v>
      </c>
      <c r="H13" s="42">
        <f>'CS-FG'!H37</f>
        <v>0</v>
      </c>
      <c r="I13" s="42">
        <f>'CS-FG'!I37</f>
        <v>0</v>
      </c>
      <c r="J13" s="42">
        <f>'CS-FG'!J37</f>
        <v>0</v>
      </c>
      <c r="K13" s="42">
        <f>'CS-FG'!K37</f>
        <v>0</v>
      </c>
      <c r="L13" s="42">
        <f>'CS-FG'!L37</f>
        <v>0</v>
      </c>
    </row>
    <row r="14" spans="1:12" hidden="1" x14ac:dyDescent="0.25">
      <c r="A14" s="6"/>
      <c r="B14" s="26" t="s">
        <v>86</v>
      </c>
      <c r="C14" s="41">
        <f>C12*C13/100000</f>
        <v>0</v>
      </c>
      <c r="D14" s="41">
        <f t="shared" ref="D14:I14" si="4">D12*D13/100000</f>
        <v>0</v>
      </c>
      <c r="E14" s="41">
        <f t="shared" si="4"/>
        <v>0</v>
      </c>
      <c r="F14" s="41">
        <f t="shared" si="4"/>
        <v>0</v>
      </c>
      <c r="G14" s="41">
        <f t="shared" si="4"/>
        <v>0</v>
      </c>
      <c r="H14" s="41">
        <f t="shared" si="4"/>
        <v>0</v>
      </c>
      <c r="I14" s="41">
        <f t="shared" si="4"/>
        <v>0</v>
      </c>
      <c r="J14" s="41">
        <f t="shared" ref="J14:L14" si="5">J12*J13/100000</f>
        <v>0</v>
      </c>
      <c r="K14" s="41">
        <f t="shared" si="5"/>
        <v>0</v>
      </c>
      <c r="L14" s="41">
        <f t="shared" si="5"/>
        <v>0</v>
      </c>
    </row>
    <row r="15" spans="1:12" hidden="1" x14ac:dyDescent="0.25">
      <c r="A15" s="6"/>
      <c r="B15" s="26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idden="1" x14ac:dyDescent="0.25">
      <c r="A16" s="263" t="s">
        <v>397</v>
      </c>
      <c r="B16" s="26" t="str">
        <f>'CS-FG'!B22</f>
        <v>Powder</v>
      </c>
      <c r="C16" s="36">
        <f>'CS-FG'!C25</f>
        <v>0</v>
      </c>
      <c r="D16" s="36">
        <f>'CS-FG'!D25</f>
        <v>0</v>
      </c>
      <c r="E16" s="36">
        <f>'CS-FG'!E25</f>
        <v>0</v>
      </c>
      <c r="F16" s="36">
        <f>'CS-FG'!F25</f>
        <v>0</v>
      </c>
      <c r="G16" s="36">
        <f>'CS-FG'!G25</f>
        <v>0</v>
      </c>
      <c r="H16" s="36">
        <f>'CS-FG'!H25</f>
        <v>0</v>
      </c>
      <c r="I16" s="36">
        <f>'CS-FG'!I25</f>
        <v>0</v>
      </c>
      <c r="J16" s="36">
        <f>'CS-FG'!J25</f>
        <v>0</v>
      </c>
      <c r="K16" s="36">
        <f>'CS-FG'!K25</f>
        <v>0</v>
      </c>
      <c r="L16" s="36">
        <f>'CS-FG'!L25</f>
        <v>0</v>
      </c>
    </row>
    <row r="17" spans="1:12" hidden="1" x14ac:dyDescent="0.25">
      <c r="A17" s="6"/>
      <c r="B17" s="36" t="s">
        <v>74</v>
      </c>
      <c r="C17" s="42">
        <f>'CS-FG'!C38</f>
        <v>0</v>
      </c>
      <c r="D17" s="42">
        <f>'CS-FG'!D38</f>
        <v>0</v>
      </c>
      <c r="E17" s="42">
        <f>'CS-FG'!E38</f>
        <v>0</v>
      </c>
      <c r="F17" s="42">
        <f>'CS-FG'!F38</f>
        <v>0</v>
      </c>
      <c r="G17" s="42">
        <f>'CS-FG'!G38</f>
        <v>0</v>
      </c>
      <c r="H17" s="42">
        <f>'CS-FG'!H38</f>
        <v>0</v>
      </c>
      <c r="I17" s="42">
        <f>'CS-FG'!I38</f>
        <v>0</v>
      </c>
      <c r="J17" s="42">
        <f>'CS-FG'!J38</f>
        <v>0</v>
      </c>
      <c r="K17" s="42">
        <f>'CS-FG'!K38</f>
        <v>0</v>
      </c>
      <c r="L17" s="42">
        <f>'CS-FG'!L38</f>
        <v>0</v>
      </c>
    </row>
    <row r="18" spans="1:12" hidden="1" x14ac:dyDescent="0.25">
      <c r="A18" s="6"/>
      <c r="B18" s="26" t="s">
        <v>86</v>
      </c>
      <c r="C18" s="41">
        <f>C16*C17/100000</f>
        <v>0</v>
      </c>
      <c r="D18" s="41">
        <f t="shared" ref="D18:L18" si="6">D16*D17/100000</f>
        <v>0</v>
      </c>
      <c r="E18" s="41">
        <f t="shared" si="6"/>
        <v>0</v>
      </c>
      <c r="F18" s="41">
        <f t="shared" si="6"/>
        <v>0</v>
      </c>
      <c r="G18" s="41">
        <f t="shared" si="6"/>
        <v>0</v>
      </c>
      <c r="H18" s="41">
        <f t="shared" si="6"/>
        <v>0</v>
      </c>
      <c r="I18" s="41">
        <f t="shared" si="6"/>
        <v>0</v>
      </c>
      <c r="J18" s="41">
        <f t="shared" si="6"/>
        <v>0</v>
      </c>
      <c r="K18" s="41">
        <f t="shared" si="6"/>
        <v>0</v>
      </c>
      <c r="L18" s="41">
        <f t="shared" si="6"/>
        <v>0</v>
      </c>
    </row>
    <row r="19" spans="1:12" hidden="1" x14ac:dyDescent="0.25">
      <c r="A19" s="6"/>
      <c r="B19" s="26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idden="1" x14ac:dyDescent="0.25">
      <c r="A20" s="299" t="s">
        <v>397</v>
      </c>
      <c r="B20" s="26" t="str">
        <f>'CS-FG'!B28</f>
        <v>Waste</v>
      </c>
      <c r="C20" s="36">
        <f>'CS-FG'!C31</f>
        <v>2</v>
      </c>
      <c r="D20" s="36">
        <f>'CS-FG'!D31</f>
        <v>2</v>
      </c>
      <c r="E20" s="36">
        <f>'CS-FG'!E31</f>
        <v>2</v>
      </c>
      <c r="F20" s="36">
        <f>'CS-FG'!F31</f>
        <v>2</v>
      </c>
      <c r="G20" s="36">
        <f>'CS-FG'!G31</f>
        <v>2</v>
      </c>
      <c r="H20" s="36">
        <f>'CS-FG'!H31</f>
        <v>3</v>
      </c>
      <c r="I20" s="36">
        <f>'CS-FG'!I31</f>
        <v>3</v>
      </c>
      <c r="J20" s="36">
        <f>'CS-FG'!J31</f>
        <v>3</v>
      </c>
      <c r="K20" s="36">
        <f>'CS-FG'!K31</f>
        <v>3</v>
      </c>
      <c r="L20" s="36">
        <f>'CS-FG'!L31</f>
        <v>3</v>
      </c>
    </row>
    <row r="21" spans="1:12" hidden="1" x14ac:dyDescent="0.25">
      <c r="A21" s="6"/>
      <c r="B21" s="36" t="s">
        <v>74</v>
      </c>
      <c r="C21" s="42">
        <f>+'CS-FG'!C39</f>
        <v>0</v>
      </c>
      <c r="D21" s="42">
        <f>+'CS-FG'!D39</f>
        <v>0</v>
      </c>
      <c r="E21" s="42">
        <f>+'CS-FG'!E39</f>
        <v>0</v>
      </c>
      <c r="F21" s="42">
        <f>+'CS-FG'!F39</f>
        <v>0</v>
      </c>
      <c r="G21" s="42">
        <f>+'CS-FG'!G39</f>
        <v>0</v>
      </c>
      <c r="H21" s="42">
        <f>+'CS-FG'!H39</f>
        <v>0</v>
      </c>
      <c r="I21" s="42">
        <f>+'CS-FG'!I39</f>
        <v>0</v>
      </c>
      <c r="J21" s="42">
        <f>+'CS-FG'!J39</f>
        <v>0</v>
      </c>
      <c r="K21" s="42">
        <f>+'CS-FG'!K39</f>
        <v>0</v>
      </c>
      <c r="L21" s="42">
        <f>+'CS-FG'!L39</f>
        <v>0</v>
      </c>
    </row>
    <row r="22" spans="1:12" hidden="1" x14ac:dyDescent="0.25">
      <c r="A22" s="6"/>
      <c r="B22" s="26" t="s">
        <v>86</v>
      </c>
      <c r="C22" s="41">
        <f>C20*C21/100000</f>
        <v>0</v>
      </c>
      <c r="D22" s="41">
        <f t="shared" ref="D22:L22" si="7">D20*D21/100000</f>
        <v>0</v>
      </c>
      <c r="E22" s="41">
        <f t="shared" si="7"/>
        <v>0</v>
      </c>
      <c r="F22" s="41">
        <f t="shared" si="7"/>
        <v>0</v>
      </c>
      <c r="G22" s="41">
        <f t="shared" si="7"/>
        <v>0</v>
      </c>
      <c r="H22" s="41">
        <f t="shared" si="7"/>
        <v>0</v>
      </c>
      <c r="I22" s="41">
        <f t="shared" si="7"/>
        <v>0</v>
      </c>
      <c r="J22" s="41">
        <f t="shared" si="7"/>
        <v>0</v>
      </c>
      <c r="K22" s="41">
        <f t="shared" si="7"/>
        <v>0</v>
      </c>
      <c r="L22" s="41">
        <f t="shared" si="7"/>
        <v>0</v>
      </c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s="324" customFormat="1" x14ac:dyDescent="0.25">
      <c r="A24" s="321"/>
      <c r="B24" s="325"/>
      <c r="C24" s="323"/>
      <c r="D24" s="323"/>
      <c r="E24" s="323"/>
      <c r="F24" s="323"/>
      <c r="G24" s="323"/>
      <c r="H24" s="323"/>
      <c r="I24" s="323"/>
      <c r="J24" s="323"/>
      <c r="K24" s="323"/>
      <c r="L24" s="323"/>
    </row>
    <row r="25" spans="1:12" x14ac:dyDescent="0.25">
      <c r="A25" s="299" t="s">
        <v>77</v>
      </c>
      <c r="B25" s="26" t="str">
        <f>+'CS-FG'!B93</f>
        <v>Chana Dall</v>
      </c>
      <c r="C25" s="36">
        <f>+'CS-FG'!C65</f>
        <v>49</v>
      </c>
      <c r="D25" s="36">
        <f>+'CS-FG'!D65</f>
        <v>51</v>
      </c>
      <c r="E25" s="36">
        <f>+'CS-FG'!E65</f>
        <v>54</v>
      </c>
      <c r="F25" s="36">
        <f>+'CS-FG'!F65</f>
        <v>57</v>
      </c>
      <c r="G25" s="36">
        <f>+'CS-FG'!G65</f>
        <v>60</v>
      </c>
      <c r="H25" s="36">
        <f>+'CS-FG'!H65</f>
        <v>64</v>
      </c>
      <c r="I25" s="36">
        <f>+'CS-FG'!I65</f>
        <v>68</v>
      </c>
      <c r="J25" s="36">
        <f>+'CS-FG'!J65</f>
        <v>68</v>
      </c>
      <c r="K25" s="36">
        <f>+'CS-FG'!K65</f>
        <v>68</v>
      </c>
      <c r="L25" s="36">
        <f>+'CS-FG'!L65</f>
        <v>68</v>
      </c>
    </row>
    <row r="26" spans="1:12" x14ac:dyDescent="0.25">
      <c r="A26" s="6"/>
      <c r="B26" s="36" t="s">
        <v>74</v>
      </c>
      <c r="C26" s="42">
        <f>+'CS-FG'!C93</f>
        <v>80000</v>
      </c>
      <c r="D26" s="42">
        <f>+'CS-FG'!D93</f>
        <v>84000</v>
      </c>
      <c r="E26" s="42">
        <f>+'CS-FG'!E93</f>
        <v>88200</v>
      </c>
      <c r="F26" s="42">
        <f>+'CS-FG'!F93</f>
        <v>92610</v>
      </c>
      <c r="G26" s="42">
        <f>+'CS-FG'!G93</f>
        <v>97240</v>
      </c>
      <c r="H26" s="42">
        <f>+'CS-FG'!H93</f>
        <v>102100</v>
      </c>
      <c r="I26" s="42">
        <f>+'CS-FG'!I93</f>
        <v>107210</v>
      </c>
      <c r="J26" s="42">
        <f>+'CS-FG'!J93</f>
        <v>112570</v>
      </c>
      <c r="K26" s="42">
        <f>+'CS-FG'!K93</f>
        <v>118200</v>
      </c>
      <c r="L26" s="42">
        <f>+'CS-FG'!L93</f>
        <v>124110</v>
      </c>
    </row>
    <row r="27" spans="1:12" x14ac:dyDescent="0.25">
      <c r="A27" s="6"/>
      <c r="B27" s="26" t="s">
        <v>86</v>
      </c>
      <c r="C27" s="41">
        <f>C25*C26/100000</f>
        <v>39.200000000000003</v>
      </c>
      <c r="D27" s="41">
        <f t="shared" ref="D27:L27" si="8">D25*D26/100000</f>
        <v>42.84</v>
      </c>
      <c r="E27" s="41">
        <f t="shared" si="8"/>
        <v>47.628</v>
      </c>
      <c r="F27" s="41">
        <f t="shared" si="8"/>
        <v>52.787700000000001</v>
      </c>
      <c r="G27" s="41">
        <f t="shared" si="8"/>
        <v>58.344000000000001</v>
      </c>
      <c r="H27" s="41">
        <f t="shared" si="8"/>
        <v>65.343999999999994</v>
      </c>
      <c r="I27" s="41">
        <f t="shared" si="8"/>
        <v>72.902799999999999</v>
      </c>
      <c r="J27" s="41">
        <f t="shared" si="8"/>
        <v>76.547600000000003</v>
      </c>
      <c r="K27" s="41">
        <f t="shared" si="8"/>
        <v>80.376000000000005</v>
      </c>
      <c r="L27" s="41">
        <f t="shared" si="8"/>
        <v>84.394800000000004</v>
      </c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299" t="s">
        <v>82</v>
      </c>
      <c r="B29" s="26" t="str">
        <f>'CS-FG'!B94</f>
        <v>Chuni</v>
      </c>
      <c r="C29" s="36">
        <f>'CS-FG'!C71</f>
        <v>5</v>
      </c>
      <c r="D29" s="36">
        <f>'CS-FG'!D71</f>
        <v>5</v>
      </c>
      <c r="E29" s="36">
        <f>'CS-FG'!E71</f>
        <v>6</v>
      </c>
      <c r="F29" s="36">
        <f>'CS-FG'!F71</f>
        <v>6</v>
      </c>
      <c r="G29" s="36">
        <f>'CS-FG'!G71</f>
        <v>6</v>
      </c>
      <c r="H29" s="36">
        <f>'CS-FG'!H71</f>
        <v>7</v>
      </c>
      <c r="I29" s="36">
        <f>'CS-FG'!I71</f>
        <v>7</v>
      </c>
      <c r="J29" s="36">
        <f>'CS-FG'!J71</f>
        <v>7</v>
      </c>
      <c r="K29" s="36">
        <f>'CS-FG'!K71</f>
        <v>7</v>
      </c>
      <c r="L29" s="36">
        <f>'CS-FG'!L71</f>
        <v>7</v>
      </c>
    </row>
    <row r="30" spans="1:12" x14ac:dyDescent="0.25">
      <c r="A30" s="6"/>
      <c r="B30" s="36" t="s">
        <v>74</v>
      </c>
      <c r="C30" s="42">
        <f>'CS-FG'!C94</f>
        <v>15000</v>
      </c>
      <c r="D30" s="42">
        <f>'CS-FG'!D94</f>
        <v>15750</v>
      </c>
      <c r="E30" s="42">
        <f>'CS-FG'!E94</f>
        <v>16540</v>
      </c>
      <c r="F30" s="42">
        <f>'CS-FG'!F94</f>
        <v>17370</v>
      </c>
      <c r="G30" s="42">
        <f>'CS-FG'!G94</f>
        <v>18240</v>
      </c>
      <c r="H30" s="42">
        <f>'CS-FG'!H94</f>
        <v>19150</v>
      </c>
      <c r="I30" s="42">
        <f>'CS-FG'!I94</f>
        <v>20110</v>
      </c>
      <c r="J30" s="42">
        <f>'CS-FG'!J94</f>
        <v>21120</v>
      </c>
      <c r="K30" s="42">
        <f>'CS-FG'!K94</f>
        <v>22180</v>
      </c>
      <c r="L30" s="42">
        <f>'CS-FG'!L94</f>
        <v>23290</v>
      </c>
    </row>
    <row r="31" spans="1:12" x14ac:dyDescent="0.25">
      <c r="A31" s="6"/>
      <c r="B31" s="26" t="s">
        <v>86</v>
      </c>
      <c r="C31" s="41">
        <f>C29*C30/100000</f>
        <v>0.75</v>
      </c>
      <c r="D31" s="41">
        <f t="shared" ref="D31:L31" si="9">D29*D30/100000</f>
        <v>0.78749999999999998</v>
      </c>
      <c r="E31" s="41">
        <f t="shared" si="9"/>
        <v>0.99239999999999995</v>
      </c>
      <c r="F31" s="41">
        <f t="shared" si="9"/>
        <v>1.0422</v>
      </c>
      <c r="G31" s="41">
        <f t="shared" si="9"/>
        <v>1.0944</v>
      </c>
      <c r="H31" s="41">
        <f t="shared" si="9"/>
        <v>1.3405</v>
      </c>
      <c r="I31" s="41">
        <f t="shared" si="9"/>
        <v>1.4077</v>
      </c>
      <c r="J31" s="41">
        <f t="shared" si="9"/>
        <v>1.4783999999999999</v>
      </c>
      <c r="K31" s="41">
        <f t="shared" si="9"/>
        <v>1.5526</v>
      </c>
      <c r="L31" s="41">
        <f t="shared" si="9"/>
        <v>1.6303000000000001</v>
      </c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299" t="s">
        <v>83</v>
      </c>
      <c r="B33" s="26" t="str">
        <f>'CS-FG'!B95</f>
        <v>Bhusa</v>
      </c>
      <c r="C33" s="36">
        <f>+'CS-FG'!C77</f>
        <v>10</v>
      </c>
      <c r="D33" s="36">
        <f>+'CS-FG'!D77</f>
        <v>10</v>
      </c>
      <c r="E33" s="36">
        <f>+'CS-FG'!E77</f>
        <v>11</v>
      </c>
      <c r="F33" s="36">
        <f>+'CS-FG'!F77</f>
        <v>11</v>
      </c>
      <c r="G33" s="36">
        <f>+'CS-FG'!G77</f>
        <v>11</v>
      </c>
      <c r="H33" s="36">
        <f>+'CS-FG'!H77</f>
        <v>13</v>
      </c>
      <c r="I33" s="36">
        <f>+'CS-FG'!I77</f>
        <v>14</v>
      </c>
      <c r="J33" s="36">
        <f>+'CS-FG'!J77</f>
        <v>14</v>
      </c>
      <c r="K33" s="36">
        <f>+'CS-FG'!K77</f>
        <v>14</v>
      </c>
      <c r="L33" s="36">
        <f>+'CS-FG'!L77</f>
        <v>14</v>
      </c>
    </row>
    <row r="34" spans="1:12" x14ac:dyDescent="0.25">
      <c r="A34" s="6"/>
      <c r="B34" s="36" t="s">
        <v>74</v>
      </c>
      <c r="C34" s="42">
        <f>'CS-FG'!C95</f>
        <v>15000</v>
      </c>
      <c r="D34" s="42">
        <f>'CS-FG'!D95</f>
        <v>15750</v>
      </c>
      <c r="E34" s="42">
        <f>'CS-FG'!E95</f>
        <v>16540</v>
      </c>
      <c r="F34" s="42">
        <f>'CS-FG'!F95</f>
        <v>17370</v>
      </c>
      <c r="G34" s="42">
        <f>'CS-FG'!G95</f>
        <v>18240</v>
      </c>
      <c r="H34" s="42">
        <f>'CS-FG'!H95</f>
        <v>19150</v>
      </c>
      <c r="I34" s="42">
        <f>'CS-FG'!I95</f>
        <v>20110</v>
      </c>
      <c r="J34" s="42">
        <f>'CS-FG'!J95</f>
        <v>21120</v>
      </c>
      <c r="K34" s="42">
        <f>'CS-FG'!K95</f>
        <v>22180</v>
      </c>
      <c r="L34" s="42">
        <f>'CS-FG'!L95</f>
        <v>23290</v>
      </c>
    </row>
    <row r="35" spans="1:12" x14ac:dyDescent="0.25">
      <c r="A35" s="6"/>
      <c r="B35" s="26" t="s">
        <v>86</v>
      </c>
      <c r="C35" s="41">
        <f>C33*C34/100000</f>
        <v>1.5</v>
      </c>
      <c r="D35" s="41">
        <f t="shared" ref="D35:L35" si="10">D33*D34/100000</f>
        <v>1.575</v>
      </c>
      <c r="E35" s="41">
        <f t="shared" si="10"/>
        <v>1.8193999999999999</v>
      </c>
      <c r="F35" s="41">
        <f t="shared" si="10"/>
        <v>1.9107000000000001</v>
      </c>
      <c r="G35" s="41">
        <f t="shared" si="10"/>
        <v>2.0064000000000002</v>
      </c>
      <c r="H35" s="41">
        <f t="shared" si="10"/>
        <v>2.4895</v>
      </c>
      <c r="I35" s="41">
        <f t="shared" si="10"/>
        <v>2.8153999999999999</v>
      </c>
      <c r="J35" s="41">
        <f t="shared" si="10"/>
        <v>2.9567999999999999</v>
      </c>
      <c r="K35" s="41">
        <f t="shared" si="10"/>
        <v>3.1052</v>
      </c>
      <c r="L35" s="41">
        <f t="shared" si="10"/>
        <v>3.2606000000000002</v>
      </c>
    </row>
    <row r="36" spans="1:12" x14ac:dyDescent="0.25">
      <c r="A36" s="6"/>
      <c r="B36" s="26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299" t="s">
        <v>397</v>
      </c>
      <c r="B37" s="26" t="str">
        <f>'CS-FG'!B96</f>
        <v>Powder</v>
      </c>
      <c r="C37" s="36">
        <f>'CS-FG'!C83</f>
        <v>0</v>
      </c>
      <c r="D37" s="36">
        <f>'CS-FG'!D83</f>
        <v>0</v>
      </c>
      <c r="E37" s="36">
        <f>'CS-FG'!E83</f>
        <v>0</v>
      </c>
      <c r="F37" s="36">
        <f>'CS-FG'!F83</f>
        <v>0</v>
      </c>
      <c r="G37" s="36">
        <f>'CS-FG'!G83</f>
        <v>0</v>
      </c>
      <c r="H37" s="36">
        <f>'CS-FG'!H83</f>
        <v>0</v>
      </c>
      <c r="I37" s="36">
        <f>'CS-FG'!I83</f>
        <v>0</v>
      </c>
      <c r="J37" s="36">
        <f>'CS-FG'!J83</f>
        <v>0</v>
      </c>
      <c r="K37" s="36">
        <f>'CS-FG'!K83</f>
        <v>0</v>
      </c>
      <c r="L37" s="36">
        <f>'CS-FG'!L83</f>
        <v>0</v>
      </c>
    </row>
    <row r="38" spans="1:12" x14ac:dyDescent="0.25">
      <c r="A38" s="6"/>
      <c r="B38" s="36" t="s">
        <v>74</v>
      </c>
      <c r="C38" s="42">
        <f>'CS-FG'!C96</f>
        <v>15000</v>
      </c>
      <c r="D38" s="42">
        <f>'CS-FG'!D96</f>
        <v>15750</v>
      </c>
      <c r="E38" s="42">
        <f>'CS-FG'!E96</f>
        <v>16540</v>
      </c>
      <c r="F38" s="42">
        <f>'CS-FG'!F96</f>
        <v>17370</v>
      </c>
      <c r="G38" s="42">
        <f>'CS-FG'!G96</f>
        <v>18240</v>
      </c>
      <c r="H38" s="42">
        <f>'CS-FG'!H96</f>
        <v>19150</v>
      </c>
      <c r="I38" s="42">
        <f>'CS-FG'!I96</f>
        <v>20110</v>
      </c>
      <c r="J38" s="42">
        <f>'CS-FG'!J96</f>
        <v>21120</v>
      </c>
      <c r="K38" s="42">
        <f>'CS-FG'!K96</f>
        <v>22180</v>
      </c>
      <c r="L38" s="42">
        <f>'CS-FG'!L96</f>
        <v>23290</v>
      </c>
    </row>
    <row r="39" spans="1:12" x14ac:dyDescent="0.25">
      <c r="A39" s="6"/>
      <c r="B39" s="26" t="s">
        <v>86</v>
      </c>
      <c r="C39" s="41">
        <f>C37*C38/100000</f>
        <v>0</v>
      </c>
      <c r="D39" s="41">
        <f t="shared" ref="D39:L39" si="11">D37*D38/100000</f>
        <v>0</v>
      </c>
      <c r="E39" s="41">
        <f t="shared" si="11"/>
        <v>0</v>
      </c>
      <c r="F39" s="41">
        <f t="shared" si="11"/>
        <v>0</v>
      </c>
      <c r="G39" s="41">
        <f t="shared" si="11"/>
        <v>0</v>
      </c>
      <c r="H39" s="41">
        <f t="shared" si="11"/>
        <v>0</v>
      </c>
      <c r="I39" s="41">
        <f t="shared" si="11"/>
        <v>0</v>
      </c>
      <c r="J39" s="41">
        <f t="shared" si="11"/>
        <v>0</v>
      </c>
      <c r="K39" s="41">
        <f t="shared" si="11"/>
        <v>0</v>
      </c>
      <c r="L39" s="41">
        <f t="shared" si="11"/>
        <v>0</v>
      </c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idden="1" x14ac:dyDescent="0.25">
      <c r="A41" s="299" t="s">
        <v>398</v>
      </c>
      <c r="B41" s="26" t="str">
        <f>'CS-FG'!B97</f>
        <v>Waste</v>
      </c>
      <c r="C41" s="73">
        <f>+'CS-FG'!C89</f>
        <v>1</v>
      </c>
      <c r="D41" s="73">
        <f>+'CS-FG'!D89</f>
        <v>1</v>
      </c>
      <c r="E41" s="73">
        <f>+'CS-FG'!E89</f>
        <v>1</v>
      </c>
      <c r="F41" s="73">
        <f>+'CS-FG'!F89</f>
        <v>2</v>
      </c>
      <c r="G41" s="73">
        <f>+'CS-FG'!G89</f>
        <v>2</v>
      </c>
      <c r="H41" s="73">
        <f>+'CS-FG'!H89</f>
        <v>2</v>
      </c>
      <c r="I41" s="73">
        <f>+'CS-FG'!I89</f>
        <v>2</v>
      </c>
      <c r="J41" s="73">
        <f>+'CS-FG'!J89</f>
        <v>2</v>
      </c>
      <c r="K41" s="73">
        <f>+'CS-FG'!K89</f>
        <v>2</v>
      </c>
      <c r="L41" s="73">
        <f>+'CS-FG'!L89</f>
        <v>2</v>
      </c>
    </row>
    <row r="42" spans="1:12" hidden="1" x14ac:dyDescent="0.25">
      <c r="A42" s="6"/>
      <c r="B42" s="36" t="s">
        <v>74</v>
      </c>
      <c r="C42" s="42">
        <f>+'CS-FG'!C97</f>
        <v>0</v>
      </c>
      <c r="D42" s="42">
        <f>+'CS-FG'!D97</f>
        <v>0</v>
      </c>
      <c r="E42" s="42">
        <f>+'CS-FG'!E97</f>
        <v>0</v>
      </c>
      <c r="F42" s="42">
        <f>+'CS-FG'!F97</f>
        <v>0</v>
      </c>
      <c r="G42" s="42">
        <f>+'CS-FG'!G97</f>
        <v>0</v>
      </c>
      <c r="H42" s="42">
        <f>+'CS-FG'!H97</f>
        <v>0</v>
      </c>
      <c r="I42" s="42">
        <f>+'CS-FG'!I97</f>
        <v>0</v>
      </c>
      <c r="J42" s="42">
        <f>+'CS-FG'!J97</f>
        <v>0</v>
      </c>
      <c r="K42" s="42">
        <f>+'CS-FG'!K97</f>
        <v>0</v>
      </c>
      <c r="L42" s="42">
        <f>+'CS-FG'!L97</f>
        <v>0</v>
      </c>
    </row>
    <row r="43" spans="1:12" hidden="1" x14ac:dyDescent="0.25">
      <c r="A43" s="6"/>
      <c r="B43" s="26" t="s">
        <v>86</v>
      </c>
      <c r="C43" s="41">
        <f>C41*C42/100000</f>
        <v>0</v>
      </c>
      <c r="D43" s="41">
        <f t="shared" ref="D43:L43" si="12">D41*D42/100000</f>
        <v>0</v>
      </c>
      <c r="E43" s="41">
        <f t="shared" si="12"/>
        <v>0</v>
      </c>
      <c r="F43" s="41">
        <f t="shared" si="12"/>
        <v>0</v>
      </c>
      <c r="G43" s="41">
        <f t="shared" si="12"/>
        <v>0</v>
      </c>
      <c r="H43" s="41">
        <f t="shared" si="12"/>
        <v>0</v>
      </c>
      <c r="I43" s="41">
        <f t="shared" si="12"/>
        <v>0</v>
      </c>
      <c r="J43" s="41">
        <f t="shared" si="12"/>
        <v>0</v>
      </c>
      <c r="K43" s="41">
        <f t="shared" si="12"/>
        <v>0</v>
      </c>
      <c r="L43" s="41">
        <f t="shared" si="12"/>
        <v>0</v>
      </c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8" t="s">
        <v>87</v>
      </c>
      <c r="C45" s="11">
        <f>C14+C10+C6+C18+C27+C31+C35+C39+C22+C43</f>
        <v>106.60000000000001</v>
      </c>
      <c r="D45" s="11">
        <f t="shared" ref="D45:L45" si="13">D14+D10+D6+D18+D27+D31+D35+D39+D22+D43</f>
        <v>116.4975</v>
      </c>
      <c r="E45" s="11">
        <f t="shared" si="13"/>
        <v>130.42420000000001</v>
      </c>
      <c r="F45" s="11">
        <f t="shared" si="13"/>
        <v>144.12610000000001</v>
      </c>
      <c r="G45" s="11">
        <f t="shared" si="13"/>
        <v>160.69260000000003</v>
      </c>
      <c r="H45" s="11">
        <f t="shared" si="13"/>
        <v>179.32419999999996</v>
      </c>
      <c r="I45" s="11">
        <f t="shared" si="13"/>
        <v>199.01220000000001</v>
      </c>
      <c r="J45" s="11">
        <f t="shared" si="13"/>
        <v>208.96769999999998</v>
      </c>
      <c r="K45" s="11">
        <f t="shared" si="13"/>
        <v>219.41830000000002</v>
      </c>
      <c r="L45" s="11">
        <f t="shared" si="13"/>
        <v>230.39060000000001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7" t="s">
        <v>403</v>
      </c>
      <c r="B2" s="168" t="s">
        <v>404</v>
      </c>
      <c r="C2" s="169" t="s">
        <v>405</v>
      </c>
      <c r="D2" s="350" t="s">
        <v>406</v>
      </c>
      <c r="E2" s="350" t="s">
        <v>407</v>
      </c>
      <c r="F2" s="350" t="s">
        <v>408</v>
      </c>
      <c r="G2" s="352" t="s">
        <v>409</v>
      </c>
      <c r="H2" s="353"/>
      <c r="I2" s="353"/>
      <c r="J2" s="353"/>
      <c r="K2" s="353"/>
      <c r="L2" s="353"/>
      <c r="M2" s="354"/>
    </row>
    <row r="3" spans="1:13" x14ac:dyDescent="0.25">
      <c r="A3" s="170" t="s">
        <v>410</v>
      </c>
      <c r="B3" s="170"/>
      <c r="C3" s="171" t="s">
        <v>411</v>
      </c>
      <c r="D3" s="351"/>
      <c r="E3" s="351"/>
      <c r="F3" s="351"/>
      <c r="G3" s="172" t="s">
        <v>36</v>
      </c>
      <c r="H3" s="172" t="s">
        <v>37</v>
      </c>
      <c r="I3" s="172" t="s">
        <v>38</v>
      </c>
      <c r="J3" s="172" t="s">
        <v>39</v>
      </c>
      <c r="K3" s="172" t="s">
        <v>40</v>
      </c>
      <c r="L3" s="172" t="s">
        <v>41</v>
      </c>
      <c r="M3" s="172" t="s">
        <v>42</v>
      </c>
    </row>
    <row r="4" spans="1:13" x14ac:dyDescent="0.25">
      <c r="A4" s="162" t="s">
        <v>412</v>
      </c>
      <c r="B4" s="10"/>
      <c r="C4" s="10"/>
      <c r="D4" s="10"/>
      <c r="E4" s="10"/>
      <c r="F4" s="10"/>
      <c r="G4" s="163">
        <v>0.4</v>
      </c>
      <c r="H4" s="164">
        <v>0.5</v>
      </c>
      <c r="I4" s="164">
        <f t="shared" ref="I4:K4" si="0">+H4+5%</f>
        <v>0.55000000000000004</v>
      </c>
      <c r="J4" s="164">
        <f t="shared" si="0"/>
        <v>0.60000000000000009</v>
      </c>
      <c r="K4" s="164">
        <f t="shared" si="0"/>
        <v>0.65000000000000013</v>
      </c>
      <c r="L4" s="164">
        <f>+K4</f>
        <v>0.65000000000000013</v>
      </c>
      <c r="M4" s="164">
        <f>+L4</f>
        <v>0.65000000000000013</v>
      </c>
    </row>
    <row r="5" spans="1:13" x14ac:dyDescent="0.25">
      <c r="A5" s="10" t="s">
        <v>458</v>
      </c>
      <c r="B5" s="10">
        <v>1</v>
      </c>
      <c r="C5" s="10">
        <v>700</v>
      </c>
      <c r="D5" s="10"/>
      <c r="E5" s="10">
        <v>1500</v>
      </c>
      <c r="F5" s="10" t="s">
        <v>413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459</v>
      </c>
      <c r="B6" s="10">
        <v>2</v>
      </c>
      <c r="C6" s="10">
        <v>350</v>
      </c>
      <c r="D6" s="10"/>
      <c r="E6" s="10">
        <v>1000</v>
      </c>
      <c r="F6" s="10" t="s">
        <v>413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414</v>
      </c>
      <c r="B7" s="10"/>
      <c r="C7" s="10"/>
      <c r="D7" s="10"/>
      <c r="E7" s="10"/>
      <c r="F7" s="10" t="s">
        <v>415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416</v>
      </c>
      <c r="B8" s="10"/>
      <c r="C8" s="10"/>
      <c r="D8" s="10"/>
      <c r="E8" s="10"/>
      <c r="F8" s="10" t="s">
        <v>417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418</v>
      </c>
      <c r="B9" s="10"/>
      <c r="C9" s="10"/>
      <c r="D9" s="10"/>
      <c r="E9" s="10"/>
      <c r="F9" s="10" t="s">
        <v>417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3" t="s">
        <v>317</v>
      </c>
      <c r="B10" s="83"/>
      <c r="C10" s="83"/>
      <c r="D10" s="83"/>
      <c r="E10" s="83"/>
      <c r="F10" s="83"/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</row>
    <row r="19" spans="4:4" x14ac:dyDescent="0.25">
      <c r="D19" s="166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402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A6" zoomScaleNormal="100" zoomScaleSheetLayoutView="100" workbookViewId="0">
      <selection activeCell="E21" sqref="E21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55" t="s">
        <v>88</v>
      </c>
      <c r="B1" s="355"/>
      <c r="C1" s="355"/>
      <c r="D1" s="355"/>
      <c r="E1" s="355"/>
      <c r="F1" s="355"/>
      <c r="G1" s="355"/>
    </row>
    <row r="2" spans="1:7" ht="26.25" x14ac:dyDescent="0.25">
      <c r="A2" s="47" t="s">
        <v>89</v>
      </c>
      <c r="B2" s="47" t="s">
        <v>1</v>
      </c>
      <c r="C2" s="48" t="s">
        <v>90</v>
      </c>
      <c r="D2" s="48"/>
      <c r="E2" s="48" t="s">
        <v>91</v>
      </c>
      <c r="F2" s="49" t="s">
        <v>92</v>
      </c>
      <c r="G2" s="49" t="s">
        <v>93</v>
      </c>
    </row>
    <row r="3" spans="1:7" x14ac:dyDescent="0.25">
      <c r="A3" s="50">
        <v>1</v>
      </c>
      <c r="B3" s="51" t="s">
        <v>94</v>
      </c>
      <c r="C3" s="50" t="s">
        <v>95</v>
      </c>
      <c r="D3" s="50" t="s">
        <v>552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96</v>
      </c>
      <c r="C4" s="50" t="s">
        <v>95</v>
      </c>
      <c r="D4" s="50" t="s">
        <v>399</v>
      </c>
      <c r="E4" s="50">
        <v>0</v>
      </c>
      <c r="F4" s="52">
        <v>18000</v>
      </c>
      <c r="G4" s="52">
        <f t="shared" si="0"/>
        <v>0</v>
      </c>
    </row>
    <row r="5" spans="1:7" x14ac:dyDescent="0.25">
      <c r="A5" s="50">
        <v>3</v>
      </c>
      <c r="B5" s="51" t="s">
        <v>97</v>
      </c>
      <c r="C5" s="50" t="s">
        <v>95</v>
      </c>
      <c r="D5" s="50" t="s">
        <v>399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98</v>
      </c>
      <c r="C6" s="50" t="s">
        <v>95</v>
      </c>
      <c r="D6" s="50" t="s">
        <v>552</v>
      </c>
      <c r="E6" s="50">
        <v>1</v>
      </c>
      <c r="F6" s="52">
        <v>8000</v>
      </c>
      <c r="G6" s="52">
        <f>E6*F6*12/100000</f>
        <v>0.96</v>
      </c>
    </row>
    <row r="7" spans="1:7" x14ac:dyDescent="0.25">
      <c r="A7" s="50">
        <v>5</v>
      </c>
      <c r="B7" s="51" t="s">
        <v>99</v>
      </c>
      <c r="C7" s="50" t="s">
        <v>95</v>
      </c>
      <c r="D7" s="50" t="s">
        <v>552</v>
      </c>
      <c r="E7" s="50">
        <v>0</v>
      </c>
      <c r="F7" s="52">
        <v>5000</v>
      </c>
      <c r="G7" s="52">
        <f t="shared" si="0"/>
        <v>0</v>
      </c>
    </row>
    <row r="8" spans="1:7" x14ac:dyDescent="0.25">
      <c r="A8" s="50">
        <v>6</v>
      </c>
      <c r="B8" s="51" t="s">
        <v>100</v>
      </c>
      <c r="C8" s="50" t="s">
        <v>95</v>
      </c>
      <c r="D8" s="50" t="s">
        <v>399</v>
      </c>
      <c r="E8" s="50">
        <v>0</v>
      </c>
      <c r="F8" s="52">
        <v>8000</v>
      </c>
      <c r="G8" s="52">
        <f t="shared" si="0"/>
        <v>0</v>
      </c>
    </row>
    <row r="9" spans="1:7" x14ac:dyDescent="0.25">
      <c r="A9" s="50">
        <v>7</v>
      </c>
      <c r="B9" s="51" t="s">
        <v>101</v>
      </c>
      <c r="C9" s="50" t="s">
        <v>95</v>
      </c>
      <c r="D9" s="50" t="s">
        <v>552</v>
      </c>
      <c r="E9" s="50">
        <v>1</v>
      </c>
      <c r="F9" s="52">
        <v>5000</v>
      </c>
      <c r="G9" s="52">
        <f t="shared" si="0"/>
        <v>0.6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152</v>
      </c>
      <c r="C11" s="50" t="s">
        <v>102</v>
      </c>
      <c r="D11" s="50" t="s">
        <v>552</v>
      </c>
      <c r="E11" s="50">
        <v>1</v>
      </c>
      <c r="F11" s="52">
        <v>10000</v>
      </c>
      <c r="G11" s="52">
        <f t="shared" ref="G11:G17" si="1">E11*F11*12/100000</f>
        <v>1.2</v>
      </c>
    </row>
    <row r="12" spans="1:7" x14ac:dyDescent="0.25">
      <c r="A12" s="50">
        <v>9</v>
      </c>
      <c r="B12" s="51" t="s">
        <v>103</v>
      </c>
      <c r="C12" s="50" t="s">
        <v>102</v>
      </c>
      <c r="D12" s="50" t="s">
        <v>552</v>
      </c>
      <c r="E12" s="50">
        <v>0</v>
      </c>
      <c r="F12" s="52">
        <v>15000</v>
      </c>
      <c r="G12" s="52">
        <f t="shared" si="1"/>
        <v>0</v>
      </c>
    </row>
    <row r="13" spans="1:7" x14ac:dyDescent="0.25">
      <c r="A13" s="50">
        <v>10</v>
      </c>
      <c r="B13" s="51" t="s">
        <v>104</v>
      </c>
      <c r="C13" s="50" t="s">
        <v>102</v>
      </c>
      <c r="D13" s="50" t="s">
        <v>552</v>
      </c>
      <c r="E13" s="50">
        <v>1</v>
      </c>
      <c r="F13" s="52">
        <v>6000</v>
      </c>
      <c r="G13" s="52">
        <f t="shared" si="1"/>
        <v>0.72</v>
      </c>
    </row>
    <row r="14" spans="1:7" x14ac:dyDescent="0.25">
      <c r="A14" s="50">
        <v>11</v>
      </c>
      <c r="B14" s="51" t="s">
        <v>608</v>
      </c>
      <c r="C14" s="50" t="s">
        <v>102</v>
      </c>
      <c r="D14" s="50" t="s">
        <v>552</v>
      </c>
      <c r="E14" s="50">
        <v>0</v>
      </c>
      <c r="F14" s="52">
        <v>9000</v>
      </c>
      <c r="G14" s="52">
        <f t="shared" si="1"/>
        <v>0</v>
      </c>
    </row>
    <row r="15" spans="1:7" x14ac:dyDescent="0.25">
      <c r="A15" s="50">
        <v>12</v>
      </c>
      <c r="B15" s="51" t="s">
        <v>440</v>
      </c>
      <c r="C15" s="50" t="s">
        <v>102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105</v>
      </c>
      <c r="C16" s="50" t="s">
        <v>102</v>
      </c>
      <c r="D16" s="50" t="s">
        <v>552</v>
      </c>
      <c r="E16" s="50">
        <v>0</v>
      </c>
      <c r="F16" s="52">
        <v>5000</v>
      </c>
      <c r="G16" s="52">
        <f t="shared" si="1"/>
        <v>0</v>
      </c>
    </row>
    <row r="17" spans="1:11" x14ac:dyDescent="0.25">
      <c r="A17" s="50">
        <v>14</v>
      </c>
      <c r="B17" s="54" t="s">
        <v>106</v>
      </c>
      <c r="C17" s="50" t="s">
        <v>102</v>
      </c>
      <c r="D17" s="50" t="s">
        <v>552</v>
      </c>
      <c r="E17" s="50">
        <v>0</v>
      </c>
      <c r="F17" s="52">
        <v>8000</v>
      </c>
      <c r="G17" s="52">
        <f t="shared" si="1"/>
        <v>0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4</v>
      </c>
      <c r="F18" s="57"/>
      <c r="G18" s="57">
        <f>SUM(G3:G17)</f>
        <v>3.4799999999999995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107</v>
      </c>
      <c r="C20" s="50" t="s">
        <v>102</v>
      </c>
      <c r="D20" s="50"/>
      <c r="E20" s="58">
        <v>12</v>
      </c>
      <c r="F20" s="59" t="s">
        <v>108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490</v>
      </c>
      <c r="J22" s="18" t="s">
        <v>491</v>
      </c>
      <c r="K22" s="18" t="s">
        <v>492</v>
      </c>
    </row>
    <row r="23" spans="1:11" x14ac:dyDescent="0.25">
      <c r="A23" s="55" t="s">
        <v>107</v>
      </c>
      <c r="B23" s="18">
        <f>+E20</f>
        <v>12</v>
      </c>
      <c r="C23" s="18">
        <f>ROUND(B23*1.1,0)</f>
        <v>13</v>
      </c>
      <c r="D23" s="18">
        <f t="shared" ref="D23:H23" si="2">ROUND(C23*1.1,0)</f>
        <v>14</v>
      </c>
      <c r="E23" s="18">
        <f t="shared" si="2"/>
        <v>15</v>
      </c>
      <c r="F23" s="18">
        <f t="shared" si="2"/>
        <v>17</v>
      </c>
      <c r="G23" s="18">
        <f t="shared" si="2"/>
        <v>19</v>
      </c>
      <c r="H23" s="18">
        <f t="shared" si="2"/>
        <v>21</v>
      </c>
      <c r="I23" s="241">
        <f>H23</f>
        <v>21</v>
      </c>
      <c r="J23" s="241">
        <f t="shared" ref="J23:K23" si="3">I23</f>
        <v>21</v>
      </c>
      <c r="K23" s="241">
        <f t="shared" si="3"/>
        <v>21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C14" sqref="C14:L14"/>
    </sheetView>
  </sheetViews>
  <sheetFormatPr defaultRowHeight="15" x14ac:dyDescent="0.25"/>
  <cols>
    <col min="1" max="1" width="10.5703125" customWidth="1"/>
    <col min="2" max="2" width="33.42578125" bestFit="1" customWidth="1"/>
    <col min="3" max="3" width="9.42578125" bestFit="1" customWidth="1"/>
    <col min="4" max="4" width="9" bestFit="1" customWidth="1"/>
    <col min="5" max="8" width="9.42578125" bestFit="1" customWidth="1"/>
    <col min="9" max="10" width="9.85546875" bestFit="1" customWidth="1"/>
    <col min="11" max="12" width="9.42578125" bestFit="1" customWidth="1"/>
  </cols>
  <sheetData>
    <row r="1" spans="1:12" x14ac:dyDescent="0.25">
      <c r="A1" t="s">
        <v>609</v>
      </c>
    </row>
    <row r="3" spans="1:12" x14ac:dyDescent="0.25">
      <c r="A3" s="46" t="s">
        <v>76</v>
      </c>
      <c r="B3" s="15" t="s">
        <v>1</v>
      </c>
      <c r="C3" s="272" t="s">
        <v>36</v>
      </c>
      <c r="D3" s="272" t="s">
        <v>37</v>
      </c>
      <c r="E3" s="272" t="s">
        <v>38</v>
      </c>
      <c r="F3" s="272" t="s">
        <v>39</v>
      </c>
      <c r="G3" s="272" t="s">
        <v>40</v>
      </c>
      <c r="H3" s="272" t="s">
        <v>41</v>
      </c>
      <c r="I3" s="272" t="s">
        <v>42</v>
      </c>
      <c r="J3" s="272" t="s">
        <v>490</v>
      </c>
      <c r="K3" s="272" t="s">
        <v>491</v>
      </c>
      <c r="L3" s="272" t="s">
        <v>492</v>
      </c>
    </row>
    <row r="4" spans="1:12" x14ac:dyDescent="0.25">
      <c r="A4" s="271" t="s">
        <v>77</v>
      </c>
      <c r="B4" s="26" t="s">
        <v>610</v>
      </c>
      <c r="C4" s="36">
        <v>10</v>
      </c>
      <c r="D4" s="36">
        <f>+ROUND(C4*1.05,)</f>
        <v>11</v>
      </c>
      <c r="E4" s="36">
        <f t="shared" ref="E4:L4" si="0">+ROUND(D4*1.05,)</f>
        <v>12</v>
      </c>
      <c r="F4" s="36">
        <f t="shared" si="0"/>
        <v>13</v>
      </c>
      <c r="G4" s="36">
        <f t="shared" si="0"/>
        <v>14</v>
      </c>
      <c r="H4" s="36">
        <f t="shared" si="0"/>
        <v>15</v>
      </c>
      <c r="I4" s="36">
        <f t="shared" si="0"/>
        <v>16</v>
      </c>
      <c r="J4" s="36">
        <f t="shared" si="0"/>
        <v>17</v>
      </c>
      <c r="K4" s="36">
        <f t="shared" si="0"/>
        <v>18</v>
      </c>
      <c r="L4" s="36">
        <f t="shared" si="0"/>
        <v>19</v>
      </c>
    </row>
    <row r="5" spans="1:12" x14ac:dyDescent="0.25">
      <c r="A5" s="6"/>
      <c r="B5" s="36" t="s">
        <v>611</v>
      </c>
      <c r="C5" s="42">
        <f>+'Output Schedule'!B45</f>
        <v>226</v>
      </c>
      <c r="D5" s="42">
        <f>+'Output Schedule'!C45</f>
        <v>226</v>
      </c>
      <c r="E5" s="42">
        <f>+'Output Schedule'!D45</f>
        <v>240</v>
      </c>
      <c r="F5" s="42">
        <f>+'Output Schedule'!E45</f>
        <v>256</v>
      </c>
      <c r="G5" s="42">
        <f>+'Output Schedule'!F45</f>
        <v>270</v>
      </c>
      <c r="H5" s="42">
        <f>+'Output Schedule'!G45</f>
        <v>286</v>
      </c>
      <c r="I5" s="42">
        <f>+'Output Schedule'!H45</f>
        <v>300</v>
      </c>
      <c r="J5" s="42">
        <f>+'Output Schedule'!I45</f>
        <v>300</v>
      </c>
      <c r="K5" s="42">
        <f>+'Output Schedule'!J45</f>
        <v>300</v>
      </c>
      <c r="L5" s="42">
        <f>+'Output Schedule'!K45</f>
        <v>300</v>
      </c>
    </row>
    <row r="6" spans="1:12" x14ac:dyDescent="0.25">
      <c r="A6" s="6"/>
      <c r="B6" s="36" t="s">
        <v>615</v>
      </c>
      <c r="C6" s="42">
        <v>200</v>
      </c>
      <c r="D6" s="42">
        <f>+ROUND(C6*1.05,-1)</f>
        <v>210</v>
      </c>
      <c r="E6" s="42">
        <f t="shared" ref="E6:L6" si="1">+ROUND(D6*1.05,-1)</f>
        <v>220</v>
      </c>
      <c r="F6" s="42">
        <f t="shared" si="1"/>
        <v>230</v>
      </c>
      <c r="G6" s="42">
        <f t="shared" si="1"/>
        <v>240</v>
      </c>
      <c r="H6" s="42">
        <f t="shared" si="1"/>
        <v>250</v>
      </c>
      <c r="I6" s="42">
        <f t="shared" si="1"/>
        <v>260</v>
      </c>
      <c r="J6" s="42">
        <f t="shared" si="1"/>
        <v>270</v>
      </c>
      <c r="K6" s="42">
        <f t="shared" si="1"/>
        <v>280</v>
      </c>
      <c r="L6" s="42">
        <f t="shared" si="1"/>
        <v>290</v>
      </c>
    </row>
    <row r="7" spans="1:12" x14ac:dyDescent="0.25">
      <c r="A7" s="6"/>
      <c r="B7" s="26" t="s">
        <v>316</v>
      </c>
      <c r="C7" s="41">
        <f>+C4*C5*C6/100000</f>
        <v>4.5199999999999996</v>
      </c>
      <c r="D7" s="41">
        <f t="shared" ref="D7:L7" si="2">+D4*D5*D6/100000</f>
        <v>5.2206000000000001</v>
      </c>
      <c r="E7" s="41">
        <f t="shared" si="2"/>
        <v>6.3360000000000003</v>
      </c>
      <c r="F7" s="41">
        <f t="shared" si="2"/>
        <v>7.6543999999999999</v>
      </c>
      <c r="G7" s="41">
        <f t="shared" si="2"/>
        <v>9.0719999999999992</v>
      </c>
      <c r="H7" s="41">
        <f t="shared" si="2"/>
        <v>10.725</v>
      </c>
      <c r="I7" s="41">
        <f t="shared" si="2"/>
        <v>12.48</v>
      </c>
      <c r="J7" s="41">
        <f t="shared" si="2"/>
        <v>13.77</v>
      </c>
      <c r="K7" s="41">
        <f t="shared" si="2"/>
        <v>15.12</v>
      </c>
      <c r="L7" s="41">
        <f t="shared" si="2"/>
        <v>16.53</v>
      </c>
    </row>
    <row r="8" spans="1:12" x14ac:dyDescent="0.25">
      <c r="A8" s="6"/>
      <c r="B8" s="26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271" t="s">
        <v>82</v>
      </c>
      <c r="B9" s="26" t="s">
        <v>612</v>
      </c>
      <c r="C9" s="36">
        <v>10</v>
      </c>
      <c r="D9" s="36">
        <f>+ROUND(C9*1.05,)</f>
        <v>11</v>
      </c>
      <c r="E9" s="36">
        <f t="shared" ref="E9:L9" si="3">+ROUND(D9*1.05,)</f>
        <v>12</v>
      </c>
      <c r="F9" s="36">
        <f t="shared" si="3"/>
        <v>13</v>
      </c>
      <c r="G9" s="36">
        <f t="shared" si="3"/>
        <v>14</v>
      </c>
      <c r="H9" s="36">
        <f t="shared" si="3"/>
        <v>15</v>
      </c>
      <c r="I9" s="36">
        <f t="shared" si="3"/>
        <v>16</v>
      </c>
      <c r="J9" s="36">
        <f t="shared" si="3"/>
        <v>17</v>
      </c>
      <c r="K9" s="36">
        <f t="shared" si="3"/>
        <v>18</v>
      </c>
      <c r="L9" s="36">
        <f t="shared" si="3"/>
        <v>19</v>
      </c>
    </row>
    <row r="10" spans="1:12" x14ac:dyDescent="0.25">
      <c r="A10" s="6"/>
      <c r="B10" s="36" t="s">
        <v>611</v>
      </c>
      <c r="C10" s="42">
        <f>+C5</f>
        <v>226</v>
      </c>
      <c r="D10" s="42">
        <f t="shared" ref="D10:L10" si="4">+D5</f>
        <v>226</v>
      </c>
      <c r="E10" s="42">
        <f t="shared" si="4"/>
        <v>240</v>
      </c>
      <c r="F10" s="42">
        <f t="shared" si="4"/>
        <v>256</v>
      </c>
      <c r="G10" s="42">
        <f t="shared" si="4"/>
        <v>270</v>
      </c>
      <c r="H10" s="42">
        <f t="shared" si="4"/>
        <v>286</v>
      </c>
      <c r="I10" s="42">
        <f t="shared" si="4"/>
        <v>300</v>
      </c>
      <c r="J10" s="42">
        <f t="shared" si="4"/>
        <v>300</v>
      </c>
      <c r="K10" s="42">
        <f t="shared" si="4"/>
        <v>300</v>
      </c>
      <c r="L10" s="42">
        <f t="shared" si="4"/>
        <v>300</v>
      </c>
    </row>
    <row r="11" spans="1:12" x14ac:dyDescent="0.25">
      <c r="A11" s="6"/>
      <c r="B11" s="36" t="s">
        <v>615</v>
      </c>
      <c r="C11" s="42">
        <v>100</v>
      </c>
      <c r="D11" s="42">
        <f>+ROUND(C11*1.05,-1)</f>
        <v>110</v>
      </c>
      <c r="E11" s="42">
        <f t="shared" ref="E11:L11" si="5">+ROUND(D11*1.05,-1)</f>
        <v>120</v>
      </c>
      <c r="F11" s="42">
        <f t="shared" si="5"/>
        <v>130</v>
      </c>
      <c r="G11" s="42">
        <f t="shared" si="5"/>
        <v>140</v>
      </c>
      <c r="H11" s="42">
        <f t="shared" si="5"/>
        <v>150</v>
      </c>
      <c r="I11" s="42">
        <f t="shared" si="5"/>
        <v>160</v>
      </c>
      <c r="J11" s="42">
        <f t="shared" si="5"/>
        <v>170</v>
      </c>
      <c r="K11" s="42">
        <f t="shared" si="5"/>
        <v>180</v>
      </c>
      <c r="L11" s="42">
        <f t="shared" si="5"/>
        <v>190</v>
      </c>
    </row>
    <row r="12" spans="1:12" x14ac:dyDescent="0.25">
      <c r="A12" s="6"/>
      <c r="B12" s="26" t="s">
        <v>316</v>
      </c>
      <c r="C12" s="41">
        <f>+C9*C10*C11/100000</f>
        <v>2.2599999999999998</v>
      </c>
      <c r="D12" s="41">
        <f t="shared" ref="D12" si="6">+D9*D10*D11/100000</f>
        <v>2.7345999999999999</v>
      </c>
      <c r="E12" s="41">
        <f t="shared" ref="E12" si="7">+E9*E10*E11/100000</f>
        <v>3.456</v>
      </c>
      <c r="F12" s="41">
        <f t="shared" ref="F12" si="8">+F9*F10*F11/100000</f>
        <v>4.3263999999999996</v>
      </c>
      <c r="G12" s="41">
        <f t="shared" ref="G12" si="9">+G9*G10*G11/100000</f>
        <v>5.2919999999999998</v>
      </c>
      <c r="H12" s="41">
        <f t="shared" ref="H12" si="10">+H9*H10*H11/100000</f>
        <v>6.4349999999999996</v>
      </c>
      <c r="I12" s="41">
        <f t="shared" ref="I12" si="11">+I9*I10*I11/100000</f>
        <v>7.68</v>
      </c>
      <c r="J12" s="41">
        <f t="shared" ref="J12" si="12">+J9*J10*J11/100000</f>
        <v>8.67</v>
      </c>
      <c r="K12" s="41">
        <f t="shared" ref="K12" si="13">+K9*K10*K11/100000</f>
        <v>9.7200000000000006</v>
      </c>
      <c r="L12" s="41">
        <f t="shared" ref="L12" si="14">+L9*L10*L11/100000</f>
        <v>10.83</v>
      </c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8"/>
      <c r="B14" s="282" t="s">
        <v>613</v>
      </c>
      <c r="C14" s="283"/>
      <c r="D14" s="283"/>
      <c r="E14" s="283"/>
      <c r="F14" s="283"/>
      <c r="G14" s="283"/>
      <c r="H14" s="283"/>
      <c r="I14" s="283"/>
      <c r="J14" s="283"/>
      <c r="K14" s="283"/>
      <c r="L14" s="283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view="pageBreakPreview" topLeftCell="A42" zoomScale="60" zoomScaleNormal="100" workbookViewId="0">
      <selection activeCell="A2" sqref="A2:L4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3" width="8.28515625" style="53" bestFit="1" customWidth="1"/>
    <col min="4" max="5" width="8.42578125" style="53" bestFit="1" customWidth="1"/>
    <col min="6" max="6" width="8.28515625" style="53" bestFit="1" customWidth="1"/>
    <col min="7" max="8" width="8.42578125" style="53" bestFit="1" customWidth="1"/>
    <col min="9" max="10" width="8.28515625" style="53" bestFit="1" customWidth="1"/>
    <col min="11" max="12" width="8.42578125" style="53" bestFit="1" customWidth="1"/>
    <col min="13" max="13" width="12.5703125" style="53" bestFit="1" customWidth="1"/>
    <col min="14" max="14" width="13.140625" style="53" customWidth="1"/>
    <col min="15" max="15" width="14.140625" style="53" customWidth="1"/>
    <col min="16" max="16" width="4.42578125" style="53" bestFit="1" customWidth="1"/>
    <col min="17" max="17" width="9.85546875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109</v>
      </c>
      <c r="C2" s="221" t="s">
        <v>36</v>
      </c>
      <c r="D2" s="221" t="s">
        <v>37</v>
      </c>
      <c r="E2" s="221" t="s">
        <v>38</v>
      </c>
      <c r="F2" s="221" t="s">
        <v>39</v>
      </c>
      <c r="G2" s="221" t="s">
        <v>40</v>
      </c>
      <c r="H2" s="221" t="s">
        <v>41</v>
      </c>
      <c r="I2" s="221" t="s">
        <v>42</v>
      </c>
      <c r="J2" s="221" t="s">
        <v>490</v>
      </c>
      <c r="K2" s="221" t="s">
        <v>491</v>
      </c>
      <c r="L2" s="221" t="s">
        <v>492</v>
      </c>
      <c r="N2" s="355" t="s">
        <v>110</v>
      </c>
      <c r="O2" s="355"/>
      <c r="P2" s="355"/>
      <c r="Q2" s="355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56" t="s">
        <v>111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8"/>
      <c r="N4" s="51"/>
      <c r="O4" s="51"/>
      <c r="P4" s="51"/>
      <c r="Q4" s="62"/>
    </row>
    <row r="5" spans="1:17" x14ac:dyDescent="0.2">
      <c r="A5" s="62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10</v>
      </c>
      <c r="O5" s="51">
        <v>200</v>
      </c>
      <c r="P5" s="51">
        <v>12</v>
      </c>
      <c r="Q5" s="51">
        <f>N5*O5*P5</f>
        <v>24000</v>
      </c>
    </row>
    <row r="6" spans="1:17" x14ac:dyDescent="0.2">
      <c r="A6" s="51" t="s">
        <v>113</v>
      </c>
      <c r="B6" s="51" t="s">
        <v>594</v>
      </c>
      <c r="C6" s="52">
        <f>1000*12/100000</f>
        <v>0.12</v>
      </c>
      <c r="D6" s="52">
        <f t="shared" ref="D6:I16" si="0">C6*1.05</f>
        <v>0.126</v>
      </c>
      <c r="E6" s="52">
        <f t="shared" si="0"/>
        <v>0.1323</v>
      </c>
      <c r="F6" s="52">
        <f t="shared" si="0"/>
        <v>0.13891500000000001</v>
      </c>
      <c r="G6" s="52">
        <f t="shared" si="0"/>
        <v>0.14586075000000001</v>
      </c>
      <c r="H6" s="52">
        <f t="shared" si="0"/>
        <v>0.15315378750000003</v>
      </c>
      <c r="I6" s="52">
        <f t="shared" si="0"/>
        <v>0.16081147687500003</v>
      </c>
      <c r="J6" s="52">
        <f t="shared" ref="J6:J16" si="1">I6*1.05</f>
        <v>0.16885205071875004</v>
      </c>
      <c r="K6" s="52">
        <f t="shared" ref="K6:K16" si="2">J6*1.05</f>
        <v>0.17729465325468755</v>
      </c>
      <c r="L6" s="52">
        <f t="shared" ref="L6:L16" si="3">K6*1.05</f>
        <v>0.18615938591742193</v>
      </c>
      <c r="M6" s="63"/>
      <c r="N6" s="356" t="s">
        <v>114</v>
      </c>
      <c r="O6" s="357"/>
      <c r="P6" s="357"/>
      <c r="Q6" s="358"/>
    </row>
    <row r="7" spans="1:17" x14ac:dyDescent="0.2">
      <c r="A7" s="51" t="s">
        <v>115</v>
      </c>
      <c r="B7" s="51" t="s">
        <v>703</v>
      </c>
      <c r="C7" s="52">
        <f>500*12/100000</f>
        <v>0.06</v>
      </c>
      <c r="D7" s="52">
        <f t="shared" si="0"/>
        <v>6.3E-2</v>
      </c>
      <c r="E7" s="52">
        <f t="shared" si="0"/>
        <v>6.615E-2</v>
      </c>
      <c r="F7" s="52">
        <f t="shared" si="0"/>
        <v>6.9457500000000005E-2</v>
      </c>
      <c r="G7" s="52">
        <f t="shared" si="0"/>
        <v>7.2930375000000006E-2</v>
      </c>
      <c r="H7" s="52">
        <f t="shared" si="0"/>
        <v>7.6576893750000014E-2</v>
      </c>
      <c r="I7" s="52">
        <f t="shared" si="0"/>
        <v>8.0405738437500013E-2</v>
      </c>
      <c r="J7" s="52">
        <f t="shared" si="1"/>
        <v>8.4426025359375018E-2</v>
      </c>
      <c r="K7" s="52">
        <f t="shared" si="2"/>
        <v>8.8647326627343773E-2</v>
      </c>
      <c r="L7" s="52">
        <f t="shared" si="3"/>
        <v>9.3079692958710963E-2</v>
      </c>
      <c r="M7" s="63"/>
      <c r="N7" s="51">
        <f>N5+N3</f>
        <v>15</v>
      </c>
      <c r="O7" s="51"/>
      <c r="P7" s="51"/>
      <c r="Q7" s="51"/>
    </row>
    <row r="8" spans="1:17" x14ac:dyDescent="0.2">
      <c r="A8" s="51" t="s">
        <v>593</v>
      </c>
      <c r="B8" s="51" t="s">
        <v>686</v>
      </c>
      <c r="C8" s="52">
        <v>0.1</v>
      </c>
      <c r="D8" s="52">
        <f>C8</f>
        <v>0.1</v>
      </c>
      <c r="E8" s="52">
        <f t="shared" ref="E8:L8" si="4">D8</f>
        <v>0.1</v>
      </c>
      <c r="F8" s="52">
        <f t="shared" si="4"/>
        <v>0.1</v>
      </c>
      <c r="G8" s="52">
        <f t="shared" si="4"/>
        <v>0.1</v>
      </c>
      <c r="H8" s="52">
        <f t="shared" si="4"/>
        <v>0.1</v>
      </c>
      <c r="I8" s="52">
        <f t="shared" si="4"/>
        <v>0.1</v>
      </c>
      <c r="J8" s="52">
        <f t="shared" si="4"/>
        <v>0.1</v>
      </c>
      <c r="K8" s="52">
        <f t="shared" si="4"/>
        <v>0.1</v>
      </c>
      <c r="L8" s="52">
        <f t="shared" si="4"/>
        <v>0.1</v>
      </c>
      <c r="M8" s="63"/>
      <c r="N8" s="51"/>
      <c r="O8" s="51"/>
      <c r="P8" s="51"/>
      <c r="Q8" s="51"/>
    </row>
    <row r="9" spans="1:17" x14ac:dyDescent="0.2">
      <c r="A9" s="51" t="s">
        <v>116</v>
      </c>
      <c r="B9" s="51" t="s">
        <v>704</v>
      </c>
      <c r="C9" s="52">
        <f>750*12/100000</f>
        <v>0.09</v>
      </c>
      <c r="D9" s="52">
        <f t="shared" si="0"/>
        <v>9.4500000000000001E-2</v>
      </c>
      <c r="E9" s="52">
        <f t="shared" si="0"/>
        <v>9.9225000000000008E-2</v>
      </c>
      <c r="F9" s="52">
        <f t="shared" si="0"/>
        <v>0.10418625000000001</v>
      </c>
      <c r="G9" s="52">
        <f t="shared" si="0"/>
        <v>0.10939556250000002</v>
      </c>
      <c r="H9" s="52">
        <f t="shared" si="0"/>
        <v>0.11486534062500002</v>
      </c>
      <c r="I9" s="52">
        <f t="shared" si="0"/>
        <v>0.12060860765625003</v>
      </c>
      <c r="J9" s="52">
        <f t="shared" si="1"/>
        <v>0.12663903803906254</v>
      </c>
      <c r="K9" s="52">
        <f t="shared" si="2"/>
        <v>0.13297098994101567</v>
      </c>
      <c r="L9" s="52">
        <f t="shared" si="3"/>
        <v>0.13961953943806646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117</v>
      </c>
      <c r="B10" s="51" t="s">
        <v>118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119</v>
      </c>
      <c r="B11" s="51" t="s">
        <v>703</v>
      </c>
      <c r="C11" s="52">
        <f>500*12/100000</f>
        <v>0.06</v>
      </c>
      <c r="D11" s="52">
        <f t="shared" ref="D11" si="5">C11*1.05</f>
        <v>6.3E-2</v>
      </c>
      <c r="E11" s="52">
        <f t="shared" ref="E11" si="6">D11*1.05</f>
        <v>6.615E-2</v>
      </c>
      <c r="F11" s="52">
        <f t="shared" ref="F11" si="7">E11*1.05</f>
        <v>6.9457500000000005E-2</v>
      </c>
      <c r="G11" s="52">
        <f t="shared" ref="G11" si="8">F11*1.05</f>
        <v>7.2930375000000006E-2</v>
      </c>
      <c r="H11" s="52">
        <f t="shared" ref="H11" si="9">G11*1.05</f>
        <v>7.6576893750000014E-2</v>
      </c>
      <c r="I11" s="52">
        <f t="shared" ref="I11" si="10">H11*1.05</f>
        <v>8.0405738437500013E-2</v>
      </c>
      <c r="J11" s="52">
        <f t="shared" ref="J11" si="11">I11*1.05</f>
        <v>8.4426025359375018E-2</v>
      </c>
      <c r="K11" s="52">
        <f t="shared" ref="K11" si="12">J11*1.05</f>
        <v>8.8647326627343773E-2</v>
      </c>
      <c r="L11" s="52">
        <f t="shared" ref="L11" si="13">K11*1.05</f>
        <v>9.3079692958710963E-2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120</v>
      </c>
      <c r="B12" s="51" t="s">
        <v>709</v>
      </c>
      <c r="C12" s="52">
        <f>500*12/100000</f>
        <v>0.06</v>
      </c>
      <c r="D12" s="52">
        <f t="shared" si="0"/>
        <v>6.3E-2</v>
      </c>
      <c r="E12" s="52">
        <f t="shared" si="0"/>
        <v>6.615E-2</v>
      </c>
      <c r="F12" s="52">
        <f t="shared" si="0"/>
        <v>6.9457500000000005E-2</v>
      </c>
      <c r="G12" s="52">
        <f t="shared" si="0"/>
        <v>7.2930375000000006E-2</v>
      </c>
      <c r="H12" s="52">
        <f t="shared" si="0"/>
        <v>7.6576893750000014E-2</v>
      </c>
      <c r="I12" s="52">
        <f t="shared" si="0"/>
        <v>8.0405738437500013E-2</v>
      </c>
      <c r="J12" s="52">
        <f t="shared" si="1"/>
        <v>8.4426025359375018E-2</v>
      </c>
      <c r="K12" s="52">
        <f t="shared" si="2"/>
        <v>8.8647326627343773E-2</v>
      </c>
      <c r="L12" s="52">
        <f t="shared" si="3"/>
        <v>9.3079692958710963E-2</v>
      </c>
      <c r="M12" s="63"/>
      <c r="N12" s="51">
        <v>10</v>
      </c>
      <c r="O12" s="51"/>
      <c r="P12" s="51"/>
      <c r="Q12" s="51"/>
    </row>
    <row r="13" spans="1:17" ht="25.5" x14ac:dyDescent="0.2">
      <c r="A13" s="51" t="s">
        <v>121</v>
      </c>
      <c r="B13" s="51" t="s">
        <v>122</v>
      </c>
      <c r="C13" s="52">
        <f>SUM('Manpower Schedule'!G3:G9)</f>
        <v>1.56</v>
      </c>
      <c r="D13" s="52">
        <f t="shared" si="0"/>
        <v>1.6380000000000001</v>
      </c>
      <c r="E13" s="52">
        <f t="shared" si="0"/>
        <v>1.7199000000000002</v>
      </c>
      <c r="F13" s="52">
        <f t="shared" si="0"/>
        <v>1.8058950000000003</v>
      </c>
      <c r="G13" s="52">
        <f t="shared" si="0"/>
        <v>1.8961897500000005</v>
      </c>
      <c r="H13" s="52">
        <f t="shared" si="0"/>
        <v>1.9909992375000005</v>
      </c>
      <c r="I13" s="52">
        <f t="shared" si="0"/>
        <v>2.0905491993750007</v>
      </c>
      <c r="J13" s="52">
        <f t="shared" si="1"/>
        <v>2.195076659343751</v>
      </c>
      <c r="K13" s="52">
        <f t="shared" si="2"/>
        <v>2.3048304923109386</v>
      </c>
      <c r="L13" s="52">
        <f t="shared" si="3"/>
        <v>2.4200720169264858</v>
      </c>
      <c r="M13" s="63"/>
      <c r="N13" s="62">
        <f>N7*N9*N10*N11*N12</f>
        <v>960.00000000000011</v>
      </c>
      <c r="O13" s="51"/>
      <c r="P13" s="51"/>
      <c r="Q13" s="51"/>
    </row>
    <row r="14" spans="1:17" x14ac:dyDescent="0.2">
      <c r="A14" s="51" t="s">
        <v>123</v>
      </c>
      <c r="B14" s="51" t="s">
        <v>705</v>
      </c>
      <c r="C14" s="52">
        <f>1500*12/100000</f>
        <v>0.18</v>
      </c>
      <c r="D14" s="52">
        <f t="shared" si="0"/>
        <v>0.189</v>
      </c>
      <c r="E14" s="52">
        <f t="shared" si="0"/>
        <v>0.19845000000000002</v>
      </c>
      <c r="F14" s="52">
        <f t="shared" si="0"/>
        <v>0.20837250000000002</v>
      </c>
      <c r="G14" s="52">
        <f t="shared" si="0"/>
        <v>0.21879112500000003</v>
      </c>
      <c r="H14" s="52">
        <f t="shared" si="0"/>
        <v>0.22973068125000004</v>
      </c>
      <c r="I14" s="52">
        <f t="shared" si="0"/>
        <v>0.24121721531250007</v>
      </c>
      <c r="J14" s="52">
        <f t="shared" si="1"/>
        <v>0.25327807607812508</v>
      </c>
      <c r="K14" s="52">
        <f t="shared" si="2"/>
        <v>0.26594197988203133</v>
      </c>
      <c r="L14" s="52">
        <f t="shared" si="3"/>
        <v>0.27923907887613292</v>
      </c>
      <c r="M14" s="63"/>
    </row>
    <row r="15" spans="1:17" x14ac:dyDescent="0.2">
      <c r="A15" s="51" t="s">
        <v>124</v>
      </c>
      <c r="B15" s="51" t="s">
        <v>705</v>
      </c>
      <c r="C15" s="52">
        <f>1500*12/100000</f>
        <v>0.18</v>
      </c>
      <c r="D15" s="52">
        <f t="shared" si="0"/>
        <v>0.189</v>
      </c>
      <c r="E15" s="52">
        <f t="shared" si="0"/>
        <v>0.19845000000000002</v>
      </c>
      <c r="F15" s="52">
        <f t="shared" si="0"/>
        <v>0.20837250000000002</v>
      </c>
      <c r="G15" s="52">
        <f t="shared" si="0"/>
        <v>0.21879112500000003</v>
      </c>
      <c r="H15" s="52">
        <f t="shared" si="0"/>
        <v>0.22973068125000004</v>
      </c>
      <c r="I15" s="52">
        <f t="shared" si="0"/>
        <v>0.24121721531250007</v>
      </c>
      <c r="J15" s="52">
        <f t="shared" si="1"/>
        <v>0.25327807607812508</v>
      </c>
      <c r="K15" s="52">
        <f t="shared" si="2"/>
        <v>0.26594197988203133</v>
      </c>
      <c r="L15" s="52">
        <f t="shared" si="3"/>
        <v>0.27923907887613292</v>
      </c>
      <c r="M15" s="63"/>
    </row>
    <row r="16" spans="1:17" x14ac:dyDescent="0.2">
      <c r="A16" s="51" t="s">
        <v>125</v>
      </c>
      <c r="B16" s="51" t="s">
        <v>708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9.6000000000000014</v>
      </c>
      <c r="Q16" s="53">
        <f>N7*N9*N10</f>
        <v>9.6000000000000014</v>
      </c>
    </row>
    <row r="17" spans="1:13" ht="25.5" x14ac:dyDescent="0.2">
      <c r="A17" s="51" t="s">
        <v>126</v>
      </c>
      <c r="B17" s="51" t="s">
        <v>127</v>
      </c>
      <c r="C17" s="52">
        <f t="shared" ref="C17:I17" si="14">C13*0.1</f>
        <v>0.15600000000000003</v>
      </c>
      <c r="D17" s="52">
        <f t="shared" si="14"/>
        <v>0.16380000000000003</v>
      </c>
      <c r="E17" s="52">
        <f t="shared" si="14"/>
        <v>0.17199000000000003</v>
      </c>
      <c r="F17" s="52">
        <f t="shared" si="14"/>
        <v>0.18058950000000004</v>
      </c>
      <c r="G17" s="52">
        <f t="shared" si="14"/>
        <v>0.18961897500000005</v>
      </c>
      <c r="H17" s="52">
        <f t="shared" si="14"/>
        <v>0.19909992375000007</v>
      </c>
      <c r="I17" s="52">
        <f t="shared" si="14"/>
        <v>0.20905491993750008</v>
      </c>
      <c r="J17" s="52">
        <f t="shared" ref="J17:L17" si="15">J13*0.1</f>
        <v>0.2195076659343751</v>
      </c>
      <c r="K17" s="52">
        <f t="shared" si="15"/>
        <v>0.23048304923109386</v>
      </c>
      <c r="L17" s="52">
        <f t="shared" si="15"/>
        <v>0.24200720169264858</v>
      </c>
      <c r="M17" s="63"/>
    </row>
    <row r="18" spans="1:13" ht="25.5" x14ac:dyDescent="0.2">
      <c r="A18" s="62" t="s">
        <v>128</v>
      </c>
      <c r="B18" s="62"/>
      <c r="C18" s="64">
        <f t="shared" ref="C18:I18" si="16">SUM(C6:C17)</f>
        <v>2.8060000000000005</v>
      </c>
      <c r="D18" s="64">
        <f t="shared" si="16"/>
        <v>2.9413000000000005</v>
      </c>
      <c r="E18" s="64">
        <f t="shared" si="16"/>
        <v>3.0833650000000006</v>
      </c>
      <c r="F18" s="64">
        <f t="shared" si="16"/>
        <v>3.2325332499999999</v>
      </c>
      <c r="G18" s="64">
        <f t="shared" si="16"/>
        <v>3.3891599125000011</v>
      </c>
      <c r="H18" s="64">
        <f t="shared" si="16"/>
        <v>3.5536179081250006</v>
      </c>
      <c r="I18" s="64">
        <f t="shared" si="16"/>
        <v>3.7262988035312512</v>
      </c>
      <c r="J18" s="64">
        <f t="shared" ref="J18:L18" si="17">SUM(J6:J17)</f>
        <v>3.9076137437078131</v>
      </c>
      <c r="K18" s="64">
        <f t="shared" si="17"/>
        <v>4.0979944308932046</v>
      </c>
      <c r="L18" s="64">
        <f t="shared" si="17"/>
        <v>4.2978941524378644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129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ht="25.5" x14ac:dyDescent="0.2">
      <c r="A22" s="51" t="s">
        <v>130</v>
      </c>
      <c r="B22" s="284" t="s">
        <v>618</v>
      </c>
      <c r="C22" s="52">
        <f>+Depn!C19*1%</f>
        <v>0.31755000000000005</v>
      </c>
      <c r="D22" s="52">
        <f t="shared" ref="D22:I25" si="18">C22*1.05</f>
        <v>0.3334275000000001</v>
      </c>
      <c r="E22" s="52">
        <f t="shared" si="18"/>
        <v>0.35009887500000014</v>
      </c>
      <c r="F22" s="52">
        <f t="shared" si="18"/>
        <v>0.36760381875000014</v>
      </c>
      <c r="G22" s="52">
        <f t="shared" si="18"/>
        <v>0.38598400968750018</v>
      </c>
      <c r="H22" s="52">
        <f t="shared" si="18"/>
        <v>0.40528321017187519</v>
      </c>
      <c r="I22" s="52">
        <f t="shared" si="18"/>
        <v>0.42554737068046894</v>
      </c>
      <c r="J22" s="52">
        <f t="shared" ref="J22:J25" si="19">I22*1.05</f>
        <v>0.44682473921449239</v>
      </c>
      <c r="K22" s="52">
        <f t="shared" ref="K22:K25" si="20">J22*1.05</f>
        <v>0.46916597617521705</v>
      </c>
      <c r="L22" s="52">
        <f t="shared" ref="L22:L25" si="21">K22*1.05</f>
        <v>0.49262427498397793</v>
      </c>
    </row>
    <row r="23" spans="1:13" ht="38.25" x14ac:dyDescent="0.2">
      <c r="A23" s="51" t="s">
        <v>131</v>
      </c>
      <c r="B23" s="51" t="s">
        <v>132</v>
      </c>
      <c r="C23" s="52">
        <f>('Project Glance'!B6+'Project Glance'!B8+'Project Glance'!B9+'Project Glance'!B11+'Project Glance'!B7)*0.5%</f>
        <v>0.15877500000000003</v>
      </c>
      <c r="D23" s="52">
        <f t="shared" si="18"/>
        <v>0.16671375000000005</v>
      </c>
      <c r="E23" s="52">
        <f t="shared" si="18"/>
        <v>0.17504943750000007</v>
      </c>
      <c r="F23" s="52">
        <f t="shared" si="18"/>
        <v>0.18380190937500007</v>
      </c>
      <c r="G23" s="52">
        <f t="shared" si="18"/>
        <v>0.19299200484375009</v>
      </c>
      <c r="H23" s="52">
        <f t="shared" si="18"/>
        <v>0.20264160508593759</v>
      </c>
      <c r="I23" s="52">
        <f t="shared" si="18"/>
        <v>0.21277368534023447</v>
      </c>
      <c r="J23" s="52">
        <f t="shared" si="19"/>
        <v>0.2234123696072462</v>
      </c>
      <c r="K23" s="52">
        <f t="shared" si="20"/>
        <v>0.23458298808760852</v>
      </c>
      <c r="L23" s="52">
        <f t="shared" si="21"/>
        <v>0.24631213749198896</v>
      </c>
    </row>
    <row r="24" spans="1:13" ht="25.5" x14ac:dyDescent="0.2">
      <c r="A24" s="51" t="s">
        <v>133</v>
      </c>
      <c r="B24" s="51" t="s">
        <v>134</v>
      </c>
      <c r="C24" s="52">
        <f>SUM('Manpower Schedule'!G11:G17)</f>
        <v>1.92</v>
      </c>
      <c r="D24" s="52">
        <f t="shared" si="18"/>
        <v>2.016</v>
      </c>
      <c r="E24" s="52">
        <f t="shared" si="18"/>
        <v>2.1168</v>
      </c>
      <c r="F24" s="52">
        <f t="shared" si="18"/>
        <v>2.2226400000000002</v>
      </c>
      <c r="G24" s="52">
        <f t="shared" si="18"/>
        <v>2.3337720000000002</v>
      </c>
      <c r="H24" s="52">
        <f t="shared" si="18"/>
        <v>2.4504606000000004</v>
      </c>
      <c r="I24" s="52">
        <f t="shared" si="18"/>
        <v>2.5729836300000004</v>
      </c>
      <c r="J24" s="52">
        <f t="shared" si="19"/>
        <v>2.7016328115000006</v>
      </c>
      <c r="K24" s="52">
        <f t="shared" si="20"/>
        <v>2.8367144520750007</v>
      </c>
      <c r="L24" s="52">
        <f t="shared" si="21"/>
        <v>2.9785501746787508</v>
      </c>
    </row>
    <row r="25" spans="1:13" ht="25.5" x14ac:dyDescent="0.2">
      <c r="A25" s="51" t="s">
        <v>135</v>
      </c>
      <c r="B25" s="51" t="s">
        <v>676</v>
      </c>
      <c r="C25" s="52">
        <f>Q5/100000</f>
        <v>0.24</v>
      </c>
      <c r="D25" s="52">
        <f t="shared" si="18"/>
        <v>0.252</v>
      </c>
      <c r="E25" s="52">
        <f t="shared" si="18"/>
        <v>0.2646</v>
      </c>
      <c r="F25" s="52">
        <f t="shared" si="18"/>
        <v>0.27783000000000002</v>
      </c>
      <c r="G25" s="52">
        <f t="shared" si="18"/>
        <v>0.29172150000000002</v>
      </c>
      <c r="H25" s="52">
        <f t="shared" si="18"/>
        <v>0.30630757500000005</v>
      </c>
      <c r="I25" s="52">
        <f t="shared" si="18"/>
        <v>0.32162295375000005</v>
      </c>
      <c r="J25" s="52">
        <f t="shared" si="19"/>
        <v>0.33770410143750007</v>
      </c>
      <c r="K25" s="52">
        <f t="shared" si="20"/>
        <v>0.35458930650937509</v>
      </c>
      <c r="L25" s="52">
        <f t="shared" si="21"/>
        <v>0.37231877183484385</v>
      </c>
    </row>
    <row r="26" spans="1:13" ht="38.25" hidden="1" x14ac:dyDescent="0.2">
      <c r="A26" s="51" t="s">
        <v>450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136</v>
      </c>
      <c r="B27" s="62"/>
      <c r="C27" s="66">
        <f>SUM(C22:C25)</f>
        <v>2.6363250000000003</v>
      </c>
      <c r="D27" s="66">
        <f t="shared" ref="D27:L27" si="22">SUM(D22:D25)</f>
        <v>2.7681412500000002</v>
      </c>
      <c r="E27" s="66">
        <f t="shared" si="22"/>
        <v>2.9065483125000005</v>
      </c>
      <c r="F27" s="66">
        <f t="shared" si="22"/>
        <v>3.0518757281250002</v>
      </c>
      <c r="G27" s="66">
        <f t="shared" si="22"/>
        <v>3.2044695145312505</v>
      </c>
      <c r="H27" s="66">
        <f t="shared" si="22"/>
        <v>3.3646929902578133</v>
      </c>
      <c r="I27" s="66">
        <f t="shared" si="22"/>
        <v>3.5329276397707039</v>
      </c>
      <c r="J27" s="66">
        <f t="shared" si="22"/>
        <v>3.7095740217592392</v>
      </c>
      <c r="K27" s="66">
        <f t="shared" si="22"/>
        <v>3.8950527228472014</v>
      </c>
      <c r="L27" s="66">
        <f t="shared" si="22"/>
        <v>4.0898053589895618</v>
      </c>
    </row>
    <row r="28" spans="1:13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3" x14ac:dyDescent="0.2">
      <c r="A29" s="356" t="s">
        <v>137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8"/>
    </row>
    <row r="30" spans="1:13" ht="25.5" x14ac:dyDescent="0.2">
      <c r="A30" s="51" t="s">
        <v>138</v>
      </c>
      <c r="B30" s="51" t="s">
        <v>139</v>
      </c>
      <c r="C30" s="52">
        <f>'Manpower Schedule'!B23*200*'Output Schedule'!B45/100000</f>
        <v>5.4240000000000004</v>
      </c>
      <c r="D30" s="52">
        <f>'Manpower Schedule'!C23*200*'Output Schedule'!C45/100000</f>
        <v>5.8760000000000003</v>
      </c>
      <c r="E30" s="52">
        <f>'Manpower Schedule'!D23*200*'Output Schedule'!D45/100000</f>
        <v>6.72</v>
      </c>
      <c r="F30" s="52">
        <f>'Manpower Schedule'!E23*200*'Output Schedule'!E45/100000</f>
        <v>7.68</v>
      </c>
      <c r="G30" s="52">
        <f>'Manpower Schedule'!F23*200*'Output Schedule'!F45/100000</f>
        <v>9.18</v>
      </c>
      <c r="H30" s="52">
        <f>'Manpower Schedule'!G23*200*'Output Schedule'!G45/100000</f>
        <v>10.868</v>
      </c>
      <c r="I30" s="52">
        <f>'Manpower Schedule'!H23*200*'Output Schedule'!H45/100000</f>
        <v>12.6</v>
      </c>
      <c r="J30" s="52">
        <f>'Manpower Schedule'!I23*200*'Output Schedule'!I45/100000</f>
        <v>12.6</v>
      </c>
      <c r="K30" s="52">
        <f>'Manpower Schedule'!J23*200*'Output Schedule'!J45/100000</f>
        <v>12.6</v>
      </c>
      <c r="L30" s="52">
        <f>'Manpower Schedule'!K23*200*'Output Schedule'!K45/100000</f>
        <v>12.6</v>
      </c>
    </row>
    <row r="31" spans="1:13" ht="25.5" x14ac:dyDescent="0.2">
      <c r="A31" s="54" t="s">
        <v>135</v>
      </c>
      <c r="B31" s="51" t="s">
        <v>707</v>
      </c>
      <c r="C31" s="52">
        <f>$N$13*'Output Schedule'!B45/100000</f>
        <v>2.1696000000000004</v>
      </c>
      <c r="D31" s="52">
        <f>$N$13*'Output Schedule'!C45/100000</f>
        <v>2.1696000000000004</v>
      </c>
      <c r="E31" s="52">
        <f>$N$13*'Output Schedule'!D45/100000</f>
        <v>2.3040000000000003</v>
      </c>
      <c r="F31" s="52">
        <f>$N$13*'Output Schedule'!E45/100000</f>
        <v>2.4576000000000002</v>
      </c>
      <c r="G31" s="52">
        <f>$N$13*'Output Schedule'!F45/100000</f>
        <v>2.5920000000000001</v>
      </c>
      <c r="H31" s="52">
        <f>$N$13*'Output Schedule'!G45/100000</f>
        <v>2.7456000000000005</v>
      </c>
      <c r="I31" s="52">
        <f>$N$13*'Output Schedule'!H45/100000</f>
        <v>2.8800000000000008</v>
      </c>
      <c r="J31" s="52">
        <f>$N$13*'Output Schedule'!I45/100000</f>
        <v>2.8800000000000008</v>
      </c>
      <c r="K31" s="52">
        <f>$N$13*'Output Schedule'!J45/100000</f>
        <v>2.8800000000000008</v>
      </c>
      <c r="L31" s="52">
        <f>$N$13*'Output Schedule'!K45/100000</f>
        <v>2.8800000000000008</v>
      </c>
    </row>
    <row r="32" spans="1:13" x14ac:dyDescent="0.2">
      <c r="A32" s="54" t="s">
        <v>141</v>
      </c>
      <c r="B32" s="54" t="s">
        <v>142</v>
      </c>
      <c r="C32" s="52">
        <f>50*'Output Schedule'!B45/100000</f>
        <v>0.113</v>
      </c>
      <c r="D32" s="52">
        <f>50*'Output Schedule'!C45/100000</f>
        <v>0.113</v>
      </c>
      <c r="E32" s="52">
        <f>50*'Output Schedule'!D45/100000</f>
        <v>0.12</v>
      </c>
      <c r="F32" s="52">
        <f>50*'Output Schedule'!E45/100000</f>
        <v>0.128</v>
      </c>
      <c r="G32" s="52">
        <f>50*'Output Schedule'!F45/100000</f>
        <v>0.13500000000000001</v>
      </c>
      <c r="H32" s="52">
        <f>50*'Output Schedule'!G45/100000</f>
        <v>0.14299999999999999</v>
      </c>
      <c r="I32" s="52">
        <f>50*'Output Schedule'!H45/100000</f>
        <v>0.15</v>
      </c>
      <c r="J32" s="52">
        <f>50*'Output Schedule'!I45/100000</f>
        <v>0.15</v>
      </c>
      <c r="K32" s="52">
        <f>50*'Output Schedule'!J45/100000</f>
        <v>0.15</v>
      </c>
      <c r="L32" s="52">
        <f>50*'Output Schedule'!K45/100000</f>
        <v>0.15</v>
      </c>
    </row>
    <row r="33" spans="1:17" ht="26.25" x14ac:dyDescent="0.25">
      <c r="A33" s="51" t="s">
        <v>143</v>
      </c>
      <c r="B33" s="67" t="s">
        <v>619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/>
    </row>
    <row r="34" spans="1:17" ht="15" x14ac:dyDescent="0.25">
      <c r="A34" s="54" t="s">
        <v>144</v>
      </c>
      <c r="B34" s="67" t="s">
        <v>653</v>
      </c>
      <c r="C34" s="296">
        <f>400*'Output Schedule'!B17/100000</f>
        <v>0.40500000000000003</v>
      </c>
      <c r="D34" s="296">
        <f>400*'Output Schedule'!C17/100000</f>
        <v>0.40500000000000003</v>
      </c>
      <c r="E34" s="296">
        <f>400*'Output Schedule'!D17/100000</f>
        <v>0.432</v>
      </c>
      <c r="F34" s="296">
        <f>400*'Output Schedule'!E17/100000</f>
        <v>0.45900000000000002</v>
      </c>
      <c r="G34" s="296">
        <f>400*'Output Schedule'!F17/100000</f>
        <v>0.48599999999999999</v>
      </c>
      <c r="H34" s="296">
        <f>400*'Output Schedule'!G17/100000</f>
        <v>0.51300000000000001</v>
      </c>
      <c r="I34" s="296">
        <f>400*'Output Schedule'!H17/100000</f>
        <v>0.54</v>
      </c>
      <c r="J34" s="296">
        <f>400*'Output Schedule'!I17/100000</f>
        <v>0.54</v>
      </c>
      <c r="K34" s="296">
        <f>400*'Output Schedule'!J17/100000</f>
        <v>0.54</v>
      </c>
      <c r="L34" s="296">
        <f>400*'Output Schedule'!K17/100000</f>
        <v>0.54</v>
      </c>
      <c r="M34"/>
      <c r="O34" s="68"/>
      <c r="P34" s="68"/>
      <c r="Q34" s="68"/>
    </row>
    <row r="35" spans="1:17" ht="39" x14ac:dyDescent="0.25">
      <c r="A35" s="51" t="s">
        <v>145</v>
      </c>
      <c r="B35" s="69" t="s">
        <v>146</v>
      </c>
      <c r="C35" s="52">
        <f>800*'Manpower Schedule'!B23/100000</f>
        <v>9.6000000000000002E-2</v>
      </c>
      <c r="D35" s="52">
        <f>800*'Manpower Schedule'!C23/100000</f>
        <v>0.104</v>
      </c>
      <c r="E35" s="52">
        <f>800*'Manpower Schedule'!D23/100000</f>
        <v>0.112</v>
      </c>
      <c r="F35" s="52">
        <f>800*'Manpower Schedule'!E23/100000</f>
        <v>0.12</v>
      </c>
      <c r="G35" s="52">
        <f>800*'Manpower Schedule'!F23/100000</f>
        <v>0.13600000000000001</v>
      </c>
      <c r="H35" s="52">
        <f>800*'Manpower Schedule'!G23/100000</f>
        <v>0.152</v>
      </c>
      <c r="I35" s="52">
        <f>800*'Manpower Schedule'!H23/100000</f>
        <v>0.16800000000000001</v>
      </c>
      <c r="J35" s="52">
        <f>800*'Manpower Schedule'!I23/100000</f>
        <v>0.16800000000000001</v>
      </c>
      <c r="K35" s="52">
        <f>800*'Manpower Schedule'!J23/100000</f>
        <v>0.16800000000000001</v>
      </c>
      <c r="L35" s="52">
        <f>800*'Manpower Schedule'!K23/100000</f>
        <v>0.16800000000000001</v>
      </c>
      <c r="M35"/>
      <c r="O35" s="293"/>
      <c r="P35" s="68"/>
      <c r="Q35" s="68"/>
    </row>
    <row r="36" spans="1:17" ht="26.25" x14ac:dyDescent="0.25">
      <c r="A36" s="51" t="s">
        <v>160</v>
      </c>
      <c r="B36" s="67" t="s">
        <v>592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/>
      <c r="O36" s="293"/>
      <c r="P36" s="68"/>
      <c r="Q36" s="68"/>
    </row>
    <row r="37" spans="1:17" ht="27.75" customHeight="1" x14ac:dyDescent="0.25">
      <c r="A37" s="54" t="s">
        <v>161</v>
      </c>
      <c r="B37" s="67" t="s">
        <v>653</v>
      </c>
      <c r="C37" s="52">
        <f>400*'Output Schedule'!B17/100000</f>
        <v>0.40500000000000003</v>
      </c>
      <c r="D37" s="52">
        <f>500*'Output Schedule'!C17/100000</f>
        <v>0.50624999999999998</v>
      </c>
      <c r="E37" s="52">
        <f>500*'Output Schedule'!D17/100000</f>
        <v>0.54</v>
      </c>
      <c r="F37" s="52">
        <f>500*'Output Schedule'!E17/100000</f>
        <v>0.57374999999999998</v>
      </c>
      <c r="G37" s="52">
        <f>500*'Output Schedule'!F17/100000</f>
        <v>0.60750000000000004</v>
      </c>
      <c r="H37" s="52">
        <f>500*'Output Schedule'!G17/100000</f>
        <v>0.64124999999999999</v>
      </c>
      <c r="I37" s="52">
        <f>500*'Output Schedule'!H17/100000</f>
        <v>0.67500000000000004</v>
      </c>
      <c r="J37" s="52">
        <f>500*'Output Schedule'!I17/100000</f>
        <v>0.67500000000000004</v>
      </c>
      <c r="K37" s="52">
        <f>500*'Output Schedule'!J17/100000</f>
        <v>0.67500000000000004</v>
      </c>
      <c r="L37" s="52">
        <f>500*'Output Schedule'!K17/100000</f>
        <v>0.67500000000000004</v>
      </c>
      <c r="M37"/>
      <c r="N37" s="53">
        <f>180000/15000</f>
        <v>12</v>
      </c>
      <c r="O37" s="293"/>
      <c r="P37" s="68"/>
      <c r="Q37" s="68"/>
    </row>
    <row r="38" spans="1:17" ht="15" x14ac:dyDescent="0.25">
      <c r="A38" s="51" t="s">
        <v>148</v>
      </c>
      <c r="B38" s="69" t="s">
        <v>706</v>
      </c>
      <c r="C38" s="52">
        <f>200*'Output Schedule'!B45/100000</f>
        <v>0.45200000000000001</v>
      </c>
      <c r="D38" s="52">
        <f>300*'Output Schedule'!C45/100000</f>
        <v>0.67800000000000005</v>
      </c>
      <c r="E38" s="52">
        <f>300*'Output Schedule'!D45/100000</f>
        <v>0.72</v>
      </c>
      <c r="F38" s="52">
        <f>300*'Output Schedule'!E45/100000</f>
        <v>0.76800000000000002</v>
      </c>
      <c r="G38" s="52">
        <f>300*'Output Schedule'!F45/100000</f>
        <v>0.81</v>
      </c>
      <c r="H38" s="52">
        <f>300*'Output Schedule'!G45/100000</f>
        <v>0.85799999999999998</v>
      </c>
      <c r="I38" s="52">
        <f>300*'Output Schedule'!H45/100000</f>
        <v>0.9</v>
      </c>
      <c r="J38" s="52">
        <f>300*'Output Schedule'!I45/100000</f>
        <v>0.9</v>
      </c>
      <c r="K38" s="52">
        <f>300*'Output Schedule'!J45/100000</f>
        <v>0.9</v>
      </c>
      <c r="L38" s="52">
        <f>300*'Output Schedule'!K45/100000</f>
        <v>0.9</v>
      </c>
      <c r="M38"/>
      <c r="O38" s="293"/>
      <c r="P38" s="68"/>
      <c r="Q38" s="68"/>
    </row>
    <row r="39" spans="1:17" ht="15" x14ac:dyDescent="0.25">
      <c r="A39" s="51" t="s">
        <v>149</v>
      </c>
      <c r="B39" s="69" t="s">
        <v>147</v>
      </c>
      <c r="C39" s="52">
        <f>500*('Sales Schedule'!C4+'Sales Schedule'!C8+'Sales Schedule'!C12)/100000</f>
        <v>0.47499999999999998</v>
      </c>
      <c r="D39" s="52">
        <f>500*('Sales Schedule'!D4+'Sales Schedule'!D8+'Sales Schedule'!D12)/100000</f>
        <v>0.495</v>
      </c>
      <c r="E39" s="52">
        <f>500*('Sales Schedule'!E4+'Sales Schedule'!E8+'Sales Schedule'!E12)/100000</f>
        <v>0.53</v>
      </c>
      <c r="F39" s="52">
        <f>500*('Sales Schedule'!F4+'Sales Schedule'!F8+'Sales Schedule'!F12)/100000</f>
        <v>0.56000000000000005</v>
      </c>
      <c r="G39" s="52">
        <f>500*('Sales Schedule'!G4+'Sales Schedule'!G8+'Sales Schedule'!G12)/100000</f>
        <v>0.59499999999999997</v>
      </c>
      <c r="H39" s="52">
        <f>500*('Sales Schedule'!H4+'Sales Schedule'!H8+'Sales Schedule'!H12)/100000</f>
        <v>0.63</v>
      </c>
      <c r="I39" s="52">
        <f>500*('Sales Schedule'!I4+'Sales Schedule'!I8+'Sales Schedule'!I12)/100000</f>
        <v>0.66500000000000004</v>
      </c>
      <c r="J39" s="52">
        <f>500*('Sales Schedule'!J4+'Sales Schedule'!J8+'Sales Schedule'!J12)/100000</f>
        <v>0.66500000000000004</v>
      </c>
      <c r="K39" s="52">
        <f>500*('Sales Schedule'!K4+'Sales Schedule'!K8+'Sales Schedule'!K12)/100000</f>
        <v>0.66500000000000004</v>
      </c>
      <c r="L39" s="52">
        <f>500*('Sales Schedule'!L4+'Sales Schedule'!L8+'Sales Schedule'!L12)/100000</f>
        <v>0.66500000000000004</v>
      </c>
      <c r="M39"/>
      <c r="O39" s="68"/>
      <c r="P39" s="68"/>
      <c r="Q39" s="68"/>
    </row>
    <row r="40" spans="1:17" ht="15" x14ac:dyDescent="0.25">
      <c r="A40" s="51" t="s">
        <v>150</v>
      </c>
      <c r="B40" s="69" t="s">
        <v>616</v>
      </c>
      <c r="C40" s="52">
        <f>500*'Output Schedule'!B45/100000</f>
        <v>1.1299999999999999</v>
      </c>
      <c r="D40" s="52">
        <f>500*'Output Schedule'!C45/100000</f>
        <v>1.1299999999999999</v>
      </c>
      <c r="E40" s="52">
        <f>500*'Output Schedule'!D45/100000</f>
        <v>1.2</v>
      </c>
      <c r="F40" s="52">
        <f>500*'Output Schedule'!E45/100000</f>
        <v>1.28</v>
      </c>
      <c r="G40" s="52">
        <f>500*'Output Schedule'!F45/100000</f>
        <v>1.35</v>
      </c>
      <c r="H40" s="52">
        <f>500*'Output Schedule'!G45/100000</f>
        <v>1.43</v>
      </c>
      <c r="I40" s="52">
        <f>500*'Output Schedule'!H45/100000</f>
        <v>1.5</v>
      </c>
      <c r="J40" s="52">
        <f>500*'Output Schedule'!I45/100000</f>
        <v>1.5</v>
      </c>
      <c r="K40" s="52">
        <f>500*'Output Schedule'!J45/100000</f>
        <v>1.5</v>
      </c>
      <c r="L40" s="52">
        <f>500*'Output Schedule'!K45/100000</f>
        <v>1.5</v>
      </c>
      <c r="M40"/>
      <c r="O40" s="68"/>
      <c r="P40" s="68"/>
      <c r="Q40" s="68"/>
    </row>
    <row r="41" spans="1:17" ht="15" x14ac:dyDescent="0.25">
      <c r="A41" s="51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/>
      <c r="O41" s="68"/>
      <c r="P41" s="68"/>
      <c r="Q41" s="68"/>
    </row>
    <row r="42" spans="1:17" x14ac:dyDescent="0.2">
      <c r="A42" s="62" t="s">
        <v>151</v>
      </c>
      <c r="B42" s="62"/>
      <c r="C42" s="66">
        <f>SUM(C30:C41)</f>
        <v>10.669599999999999</v>
      </c>
      <c r="D42" s="66">
        <f t="shared" ref="D42:L42" si="23">SUM(D30:D41)</f>
        <v>11.476849999999999</v>
      </c>
      <c r="E42" s="66">
        <f t="shared" si="23"/>
        <v>12.678000000000001</v>
      </c>
      <c r="F42" s="66">
        <f t="shared" si="23"/>
        <v>14.026349999999999</v>
      </c>
      <c r="G42" s="66">
        <f t="shared" si="23"/>
        <v>15.891500000000001</v>
      </c>
      <c r="H42" s="66">
        <f t="shared" si="23"/>
        <v>17.98085</v>
      </c>
      <c r="I42" s="66">
        <f t="shared" si="23"/>
        <v>20.077999999999999</v>
      </c>
      <c r="J42" s="66">
        <f t="shared" si="23"/>
        <v>20.077999999999999</v>
      </c>
      <c r="K42" s="66">
        <f t="shared" si="23"/>
        <v>20.077999999999999</v>
      </c>
      <c r="L42" s="66">
        <f t="shared" si="23"/>
        <v>20.077999999999999</v>
      </c>
      <c r="O42" s="68"/>
      <c r="P42" s="68"/>
      <c r="Q42" s="68"/>
    </row>
    <row r="43" spans="1:17" x14ac:dyDescent="0.2">
      <c r="O43" s="68"/>
      <c r="P43" s="68"/>
      <c r="Q43" s="68"/>
    </row>
    <row r="44" spans="1:17" x14ac:dyDescent="0.2">
      <c r="O44" s="68"/>
      <c r="P44" s="68"/>
      <c r="Q44" s="68"/>
    </row>
    <row r="45" spans="1:17" x14ac:dyDescent="0.2">
      <c r="O45" s="68"/>
      <c r="P45" s="68"/>
      <c r="Q45" s="68"/>
    </row>
    <row r="46" spans="1:17" x14ac:dyDescent="0.2">
      <c r="M46" s="70"/>
      <c r="O46" s="68"/>
      <c r="P46" s="68"/>
      <c r="Q46" s="68"/>
    </row>
    <row r="47" spans="1:17" x14ac:dyDescent="0.2">
      <c r="O47" s="68"/>
      <c r="P47" s="68"/>
      <c r="Q47" s="68"/>
    </row>
    <row r="48" spans="1:17" x14ac:dyDescent="0.2">
      <c r="O48" s="68"/>
      <c r="P48" s="68"/>
      <c r="Q48" s="68"/>
    </row>
    <row r="49" spans="15:17" x14ac:dyDescent="0.2">
      <c r="O49" s="68"/>
      <c r="P49" s="68"/>
      <c r="Q49" s="68"/>
    </row>
    <row r="50" spans="15:17" x14ac:dyDescent="0.2">
      <c r="O50" s="68"/>
      <c r="P50" s="68"/>
      <c r="Q50" s="68"/>
    </row>
    <row r="51" spans="15:17" x14ac:dyDescent="0.2">
      <c r="O51" s="68"/>
      <c r="P51" s="68"/>
      <c r="Q51" s="68"/>
    </row>
    <row r="52" spans="15:17" x14ac:dyDescent="0.2">
      <c r="O52" s="68"/>
      <c r="P52" s="68"/>
      <c r="Q52" s="68"/>
    </row>
    <row r="53" spans="15:17" x14ac:dyDescent="0.2">
      <c r="O53" s="68"/>
      <c r="P53" s="68"/>
      <c r="Q53" s="68"/>
    </row>
    <row r="54" spans="15:17" x14ac:dyDescent="0.2">
      <c r="O54" s="68"/>
      <c r="P54" s="68"/>
      <c r="Q54" s="68"/>
    </row>
    <row r="55" spans="15:17" x14ac:dyDescent="0.2">
      <c r="O55" s="68"/>
      <c r="P55" s="68"/>
      <c r="Q55" s="68"/>
    </row>
    <row r="56" spans="15:17" x14ac:dyDescent="0.2">
      <c r="O56" s="68"/>
      <c r="P56" s="68"/>
      <c r="Q56" s="68"/>
    </row>
    <row r="57" spans="15:17" x14ac:dyDescent="0.2">
      <c r="O57" s="68"/>
      <c r="P57" s="68"/>
      <c r="Q57" s="68"/>
    </row>
    <row r="58" spans="15:17" x14ac:dyDescent="0.2">
      <c r="O58" s="68"/>
      <c r="P58" s="68"/>
      <c r="Q58" s="68"/>
    </row>
    <row r="59" spans="15:17" s="70" customFormat="1" x14ac:dyDescent="0.2">
      <c r="O59" s="68"/>
      <c r="P59" s="68"/>
      <c r="Q59" s="68"/>
    </row>
    <row r="60" spans="15:17" x14ac:dyDescent="0.2">
      <c r="O60" s="68"/>
      <c r="P60" s="68"/>
      <c r="Q60" s="68"/>
    </row>
  </sheetData>
  <mergeCells count="4">
    <mergeCell ref="N2:Q2"/>
    <mergeCell ref="N6:Q6"/>
    <mergeCell ref="A4:L4"/>
    <mergeCell ref="A29:L29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59" t="s">
        <v>422</v>
      </c>
      <c r="B1" s="359"/>
      <c r="C1" s="359"/>
      <c r="D1" s="359"/>
      <c r="E1" s="359"/>
      <c r="F1" s="359"/>
      <c r="G1" s="359"/>
      <c r="H1" s="359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137</v>
      </c>
      <c r="B4" s="72">
        <f>'P&amp;L'!B25</f>
        <v>10.669599999999999</v>
      </c>
      <c r="C4" s="72">
        <f>'P&amp;L'!C25</f>
        <v>11.476849999999999</v>
      </c>
      <c r="D4" s="72">
        <f>'P&amp;L'!D25</f>
        <v>12.678000000000001</v>
      </c>
      <c r="E4" s="72">
        <f>'P&amp;L'!E25</f>
        <v>14.026349999999999</v>
      </c>
      <c r="F4" s="72">
        <f>'P&amp;L'!F25</f>
        <v>15.891500000000001</v>
      </c>
      <c r="G4" s="72">
        <f>'P&amp;L'!G25</f>
        <v>17.98085</v>
      </c>
      <c r="H4" s="72">
        <f>'P&amp;L'!H25</f>
        <v>20.077999999999999</v>
      </c>
    </row>
    <row r="5" spans="1:8" x14ac:dyDescent="0.25">
      <c r="A5" s="36" t="s">
        <v>111</v>
      </c>
      <c r="B5" s="73">
        <f>'P&amp;L'!B23</f>
        <v>5.4423250000000003</v>
      </c>
      <c r="C5" s="73">
        <f>'P&amp;L'!C23</f>
        <v>5.7094412500000011</v>
      </c>
      <c r="D5" s="73">
        <f>'P&amp;L'!D23</f>
        <v>5.9899133125000006</v>
      </c>
      <c r="E5" s="73">
        <f>'P&amp;L'!E23</f>
        <v>6.2844089781250005</v>
      </c>
      <c r="F5" s="73">
        <f>'P&amp;L'!F23</f>
        <v>6.5936294270312512</v>
      </c>
      <c r="G5" s="73">
        <f>'P&amp;L'!G23</f>
        <v>6.9183108983828134</v>
      </c>
      <c r="H5" s="73">
        <f>'P&amp;L'!H23</f>
        <v>7.2592264433019551</v>
      </c>
    </row>
    <row r="6" spans="1:8" hidden="1" x14ac:dyDescent="0.25">
      <c r="A6" s="36" t="s">
        <v>424</v>
      </c>
      <c r="B6" s="73">
        <f>'Purchase Schedule'!B9</f>
        <v>101.259</v>
      </c>
      <c r="C6" s="73">
        <f>'Purchase Schedule'!C9</f>
        <v>102.10724999999999</v>
      </c>
      <c r="D6" s="73">
        <f>'Purchase Schedule'!D9</f>
        <v>115.2394</v>
      </c>
      <c r="E6" s="73">
        <f>'Purchase Schedule'!E9</f>
        <v>127.97175</v>
      </c>
      <c r="F6" s="73">
        <f>'Purchase Schedule'!F9</f>
        <v>142.45689999999999</v>
      </c>
      <c r="G6" s="73">
        <f>'Purchase Schedule'!G9</f>
        <v>157.9042</v>
      </c>
      <c r="H6" s="73">
        <f>'Purchase Schedule'!H9</f>
        <v>174.89080000000001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423</v>
      </c>
      <c r="B8" s="44">
        <f>(B4+B5)/12</f>
        <v>1.3426604166666667</v>
      </c>
      <c r="C8" s="44">
        <f t="shared" ref="C8:H8" si="0">(C4+C5)/12</f>
        <v>1.4321909374999999</v>
      </c>
      <c r="D8" s="44">
        <f t="shared" si="0"/>
        <v>1.5556594427083335</v>
      </c>
      <c r="E8" s="44">
        <f t="shared" si="0"/>
        <v>1.6925632481770834</v>
      </c>
      <c r="F8" s="44">
        <f t="shared" si="0"/>
        <v>1.8737607855859377</v>
      </c>
      <c r="G8" s="44">
        <f t="shared" si="0"/>
        <v>2.0749300748652346</v>
      </c>
      <c r="H8" s="44">
        <f t="shared" si="0"/>
        <v>2.2781022036084964</v>
      </c>
    </row>
    <row r="9" spans="1:8" x14ac:dyDescent="0.25">
      <c r="A9" s="36" t="s">
        <v>453</v>
      </c>
      <c r="B9" s="44">
        <f>'CS-RM'!B31+'CS-FG'!C123</f>
        <v>8.3640000000000008</v>
      </c>
      <c r="C9" s="44">
        <f>'CS-RM'!C31+'CS-FG'!D123</f>
        <v>8.7821999999999996</v>
      </c>
      <c r="D9" s="44">
        <f>'CS-RM'!D31+'CS-FG'!E123</f>
        <v>9.9158000000000008</v>
      </c>
      <c r="E9" s="44">
        <f>'CS-RM'!E31+'CS-FG'!F123</f>
        <v>11.3957</v>
      </c>
      <c r="F9" s="44">
        <f>'CS-RM'!F31+'CS-FG'!G123</f>
        <v>13.1204</v>
      </c>
      <c r="G9" s="44">
        <f>'CS-RM'!G31+'CS-FG'!H123</f>
        <v>14.4123</v>
      </c>
      <c r="H9" s="44">
        <f>'CS-RM'!H31+'CS-FG'!I123</f>
        <v>15.977300000000001</v>
      </c>
    </row>
    <row r="10" spans="1:8" x14ac:dyDescent="0.25">
      <c r="A10" s="36" t="s">
        <v>425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451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6">
        <f>SUM(B8:B11)</f>
        <v>9.7066604166666668</v>
      </c>
      <c r="C12" s="176">
        <f t="shared" ref="C12:H12" si="1">SUM(C8:C11)</f>
        <v>10.214390937499999</v>
      </c>
      <c r="D12" s="176">
        <f t="shared" si="1"/>
        <v>11.471459442708333</v>
      </c>
      <c r="E12" s="176">
        <f t="shared" si="1"/>
        <v>13.088263248177084</v>
      </c>
      <c r="F12" s="176">
        <f t="shared" si="1"/>
        <v>14.994160785585938</v>
      </c>
      <c r="G12" s="176">
        <f t="shared" si="1"/>
        <v>16.487230074865234</v>
      </c>
      <c r="H12" s="176">
        <f t="shared" si="1"/>
        <v>18.255402203608497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162</v>
      </c>
      <c r="B14" s="42">
        <f>B12*0.25</f>
        <v>2.4266651041666667</v>
      </c>
      <c r="C14" s="42">
        <f t="shared" ref="C14:H14" si="2">C12*0.25</f>
        <v>2.5535977343749998</v>
      </c>
      <c r="D14" s="42">
        <f t="shared" si="2"/>
        <v>2.8678648606770833</v>
      </c>
      <c r="E14" s="42">
        <f t="shared" si="2"/>
        <v>3.2720658120442709</v>
      </c>
      <c r="F14" s="42">
        <f t="shared" si="2"/>
        <v>3.7485401963964846</v>
      </c>
      <c r="G14" s="42">
        <f t="shared" si="2"/>
        <v>4.1218075187163086</v>
      </c>
      <c r="H14" s="42">
        <f t="shared" si="2"/>
        <v>4.5638505509021243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163</v>
      </c>
      <c r="B16" s="44">
        <f>B12-B14</f>
        <v>7.2799953125000005</v>
      </c>
      <c r="C16" s="44">
        <f t="shared" ref="C16:H16" si="3">C12-C14</f>
        <v>7.6607932031249995</v>
      </c>
      <c r="D16" s="44">
        <f t="shared" si="3"/>
        <v>8.6035945820312492</v>
      </c>
      <c r="E16" s="44">
        <f t="shared" si="3"/>
        <v>9.8161974361328124</v>
      </c>
      <c r="F16" s="44">
        <f t="shared" si="3"/>
        <v>11.245620589189453</v>
      </c>
      <c r="G16" s="44">
        <f t="shared" si="3"/>
        <v>12.365422556148925</v>
      </c>
      <c r="H16" s="44">
        <f t="shared" si="3"/>
        <v>13.691551652706373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85" zoomScaleNormal="100" zoomScaleSheetLayoutView="85" workbookViewId="0">
      <selection activeCell="B3" sqref="B3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5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490</v>
      </c>
      <c r="K1" s="8" t="s">
        <v>491</v>
      </c>
      <c r="L1" s="8" t="s">
        <v>492</v>
      </c>
    </row>
    <row r="2" spans="1:12" x14ac:dyDescent="0.25">
      <c r="A2" s="174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4" t="s">
        <v>586</v>
      </c>
      <c r="B3" s="42">
        <f>'Project Glance'!B10</f>
        <v>1.5877500000000002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4" t="s">
        <v>587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4" t="s">
        <v>585</v>
      </c>
      <c r="B5" s="42"/>
      <c r="C5" s="42">
        <f>'P&amp;L'!B27</f>
        <v>0.15877500000000003</v>
      </c>
      <c r="D5" s="42">
        <f>'P&amp;L'!C27</f>
        <v>0.15877500000000003</v>
      </c>
      <c r="E5" s="42">
        <f>'P&amp;L'!D27</f>
        <v>0.15877500000000003</v>
      </c>
      <c r="F5" s="42">
        <f>'P&amp;L'!E27</f>
        <v>0.15877500000000003</v>
      </c>
      <c r="G5" s="42">
        <f>'P&amp;L'!F27</f>
        <v>0.15877500000000003</v>
      </c>
      <c r="H5" s="9">
        <f>'P&amp;L'!G27</f>
        <v>0.15877500000000003</v>
      </c>
      <c r="I5" s="9">
        <f>'P&amp;L'!H27</f>
        <v>0.15877500000000003</v>
      </c>
      <c r="J5" s="9">
        <f>'P&amp;L'!I27</f>
        <v>0.15877500000000003</v>
      </c>
      <c r="K5" s="9">
        <f>'P&amp;L'!J27</f>
        <v>0.15877500000000003</v>
      </c>
      <c r="L5" s="9">
        <f>'P&amp;L'!K27</f>
        <v>0.15877500000000003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zoomScale="60" zoomScaleNormal="100" workbookViewId="0">
      <selection activeCell="B2" sqref="B2:L15"/>
    </sheetView>
  </sheetViews>
  <sheetFormatPr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7.85546875" style="1" bestFit="1" customWidth="1"/>
    <col min="10" max="16384" width="9.140625" style="1"/>
  </cols>
  <sheetData>
    <row r="2" spans="1:12" x14ac:dyDescent="0.25">
      <c r="A2" s="15" t="s">
        <v>622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490</v>
      </c>
      <c r="K2" s="15" t="s">
        <v>491</v>
      </c>
      <c r="L2" s="15" t="s">
        <v>492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3">
        <v>1</v>
      </c>
      <c r="B4" s="36" t="s">
        <v>387</v>
      </c>
      <c r="C4" s="72">
        <f>BS!C36</f>
        <v>9.2067708333333336</v>
      </c>
      <c r="D4" s="72">
        <f>BS!D36</f>
        <v>10.047734374999999</v>
      </c>
      <c r="E4" s="72">
        <f>BS!E36</f>
        <v>11.249083333333333</v>
      </c>
      <c r="F4" s="72">
        <f>BS!F36</f>
        <v>12.434923958333334</v>
      </c>
      <c r="G4" s="72">
        <f>BS!G36</f>
        <v>13.862875000000003</v>
      </c>
      <c r="H4" s="72">
        <f>BS!H36</f>
        <v>15.442433333333332</v>
      </c>
      <c r="I4" s="72">
        <f>BS!I36</f>
        <v>17.109350000000003</v>
      </c>
      <c r="J4" s="72">
        <f>BS!J36</f>
        <v>17.938974999999999</v>
      </c>
      <c r="K4" s="72">
        <f>BS!K36</f>
        <v>18.809858333333334</v>
      </c>
      <c r="L4" s="72">
        <f>BS!L36</f>
        <v>19.724216666666667</v>
      </c>
    </row>
    <row r="5" spans="1:12" x14ac:dyDescent="0.25">
      <c r="A5" s="173">
        <v>2</v>
      </c>
      <c r="B5" s="36" t="s">
        <v>388</v>
      </c>
      <c r="C5" s="72">
        <f>BS!C40+BS!C41</f>
        <v>8.3640000000000008</v>
      </c>
      <c r="D5" s="72">
        <f>BS!D40+BS!D41</f>
        <v>8.7821999999999996</v>
      </c>
      <c r="E5" s="72">
        <f>BS!E40+BS!E41</f>
        <v>9.9158000000000008</v>
      </c>
      <c r="F5" s="72">
        <f>BS!F40+BS!F41</f>
        <v>11.3957</v>
      </c>
      <c r="G5" s="72">
        <f>BS!G40+BS!G41</f>
        <v>13.1204</v>
      </c>
      <c r="H5" s="72">
        <f>BS!H40+BS!H41</f>
        <v>14.4123</v>
      </c>
      <c r="I5" s="72">
        <f>BS!I40+BS!I41</f>
        <v>15.977300000000001</v>
      </c>
      <c r="J5" s="72">
        <f>BS!J40+BS!J41</f>
        <v>16.776399999999999</v>
      </c>
      <c r="K5" s="72">
        <f>BS!K40+BS!K41</f>
        <v>17.615000000000002</v>
      </c>
      <c r="L5" s="72">
        <f>BS!L40+BS!L41</f>
        <v>18.495600000000003</v>
      </c>
    </row>
    <row r="6" spans="1:12" x14ac:dyDescent="0.25">
      <c r="A6" s="173">
        <v>3</v>
      </c>
      <c r="B6" s="36" t="s">
        <v>389</v>
      </c>
      <c r="C6" s="73">
        <f>BS!C22</f>
        <v>9.7809104166666661</v>
      </c>
      <c r="D6" s="73">
        <f>BS!D22</f>
        <v>9.9411284374999997</v>
      </c>
      <c r="E6" s="73">
        <f>BS!E22</f>
        <v>11.158942776041668</v>
      </c>
      <c r="F6" s="73">
        <f>BS!F22</f>
        <v>12.356875748177083</v>
      </c>
      <c r="G6" s="73">
        <f>BS!G22</f>
        <v>13.745169118919272</v>
      </c>
      <c r="H6" s="73">
        <f>BS!H22</f>
        <v>15.233613408198567</v>
      </c>
      <c r="I6" s="73">
        <f>BS!I22</f>
        <v>16.85233553694183</v>
      </c>
      <c r="J6" s="73">
        <f>BS!J22</f>
        <v>17.537057313788925</v>
      </c>
      <c r="K6" s="73">
        <f>BS!K22</f>
        <v>18.329253929478366</v>
      </c>
      <c r="L6" s="73">
        <f>BS!L22</f>
        <v>19.161266625952287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4"/>
      <c r="B8" s="36" t="s">
        <v>420</v>
      </c>
      <c r="C8" s="44">
        <f t="shared" ref="C8:L8" si="0">C4+C5-C6</f>
        <v>7.7898604166666683</v>
      </c>
      <c r="D8" s="44">
        <f t="shared" si="0"/>
        <v>8.8888059375000008</v>
      </c>
      <c r="E8" s="44">
        <f t="shared" si="0"/>
        <v>10.005940557291668</v>
      </c>
      <c r="F8" s="44">
        <f t="shared" si="0"/>
        <v>11.47374821015625</v>
      </c>
      <c r="G8" s="44">
        <f t="shared" si="0"/>
        <v>13.238105881080731</v>
      </c>
      <c r="H8" s="44">
        <f t="shared" si="0"/>
        <v>14.621119925134765</v>
      </c>
      <c r="I8" s="44">
        <f t="shared" si="0"/>
        <v>16.234314463058176</v>
      </c>
      <c r="J8" s="44">
        <f t="shared" si="0"/>
        <v>17.17831768621107</v>
      </c>
      <c r="K8" s="44">
        <f t="shared" si="0"/>
        <v>18.095604403854967</v>
      </c>
      <c r="L8" s="44">
        <f t="shared" si="0"/>
        <v>19.058550040714387</v>
      </c>
    </row>
    <row r="9" spans="1:12" hidden="1" x14ac:dyDescent="0.25">
      <c r="A9" s="174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4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5"/>
      <c r="B11" s="10" t="s">
        <v>421</v>
      </c>
      <c r="C11" s="19">
        <f>C4+C5-C6</f>
        <v>7.7898604166666683</v>
      </c>
      <c r="D11" s="19">
        <f t="shared" ref="D11:L11" si="1">D4+D5-D6</f>
        <v>8.8888059375000008</v>
      </c>
      <c r="E11" s="19">
        <f t="shared" si="1"/>
        <v>10.005940557291668</v>
      </c>
      <c r="F11" s="19">
        <f t="shared" si="1"/>
        <v>11.47374821015625</v>
      </c>
      <c r="G11" s="19">
        <f t="shared" si="1"/>
        <v>13.238105881080731</v>
      </c>
      <c r="H11" s="19">
        <f t="shared" si="1"/>
        <v>14.621119925134765</v>
      </c>
      <c r="I11" s="19">
        <f t="shared" si="1"/>
        <v>16.234314463058176</v>
      </c>
      <c r="J11" s="19">
        <f t="shared" si="1"/>
        <v>17.17831768621107</v>
      </c>
      <c r="K11" s="19">
        <f t="shared" si="1"/>
        <v>18.095604403854967</v>
      </c>
      <c r="L11" s="19">
        <f t="shared" si="1"/>
        <v>19.058550040714387</v>
      </c>
    </row>
    <row r="12" spans="1:12" x14ac:dyDescent="0.25">
      <c r="A12" s="174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4"/>
      <c r="B13" s="36" t="s">
        <v>162</v>
      </c>
      <c r="C13" s="44">
        <f>C11*0.25</f>
        <v>1.9474651041666671</v>
      </c>
      <c r="D13" s="44">
        <f t="shared" ref="D13:L13" si="2">D11*0.25</f>
        <v>2.2222014843750002</v>
      </c>
      <c r="E13" s="44">
        <f t="shared" si="2"/>
        <v>2.5014851393229169</v>
      </c>
      <c r="F13" s="44">
        <f t="shared" si="2"/>
        <v>2.8684370525390626</v>
      </c>
      <c r="G13" s="44">
        <f t="shared" si="2"/>
        <v>3.3095264702701828</v>
      </c>
      <c r="H13" s="44">
        <f t="shared" si="2"/>
        <v>3.6552799812836914</v>
      </c>
      <c r="I13" s="44">
        <f t="shared" si="2"/>
        <v>4.058578615764544</v>
      </c>
      <c r="J13" s="44">
        <f t="shared" si="2"/>
        <v>4.2945794215527675</v>
      </c>
      <c r="K13" s="44">
        <f t="shared" si="2"/>
        <v>4.5239011009637418</v>
      </c>
      <c r="L13" s="44">
        <f t="shared" si="2"/>
        <v>4.7646375101785967</v>
      </c>
    </row>
    <row r="14" spans="1:12" x14ac:dyDescent="0.25">
      <c r="A14" s="174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4"/>
      <c r="B15" s="269" t="s">
        <v>591</v>
      </c>
      <c r="C15" s="44">
        <f>C11-C13</f>
        <v>5.8423953125000008</v>
      </c>
      <c r="D15" s="44">
        <f t="shared" ref="D15:L15" si="3">D11-D13</f>
        <v>6.6666044531250002</v>
      </c>
      <c r="E15" s="44">
        <f t="shared" si="3"/>
        <v>7.5044554179687513</v>
      </c>
      <c r="F15" s="44">
        <f t="shared" si="3"/>
        <v>8.6053111576171872</v>
      </c>
      <c r="G15" s="44">
        <f t="shared" si="3"/>
        <v>9.9285794108105492</v>
      </c>
      <c r="H15" s="44">
        <f t="shared" si="3"/>
        <v>10.965839943851075</v>
      </c>
      <c r="I15" s="44">
        <f t="shared" si="3"/>
        <v>12.175735847293632</v>
      </c>
      <c r="J15" s="44">
        <f t="shared" si="3"/>
        <v>12.883738264658302</v>
      </c>
      <c r="K15" s="44">
        <f t="shared" si="3"/>
        <v>13.571703302891226</v>
      </c>
      <c r="L15" s="44">
        <f t="shared" si="3"/>
        <v>14.29391253053579</v>
      </c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36" zoomScale="60" zoomScaleNormal="100" workbookViewId="0">
      <selection activeCell="A3" sqref="A3:K36"/>
    </sheetView>
  </sheetViews>
  <sheetFormatPr defaultRowHeight="15" x14ac:dyDescent="0.25"/>
  <cols>
    <col min="1" max="1" width="47.5703125" style="1" bestFit="1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60" t="s">
        <v>164</v>
      </c>
      <c r="B2" s="361"/>
      <c r="C2" s="361"/>
      <c r="D2" s="361"/>
      <c r="E2" s="361"/>
      <c r="F2" s="361"/>
      <c r="G2" s="361"/>
      <c r="H2" s="346"/>
      <c r="I2" s="346"/>
      <c r="J2" s="346"/>
      <c r="K2" s="346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490</v>
      </c>
      <c r="J3" s="74" t="s">
        <v>491</v>
      </c>
      <c r="K3" s="74" t="s">
        <v>492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165</v>
      </c>
      <c r="B5" s="45">
        <f>'Sales Schedule'!C45</f>
        <v>106.60000000000001</v>
      </c>
      <c r="C5" s="45">
        <f>'Sales Schedule'!D45</f>
        <v>116.4975</v>
      </c>
      <c r="D5" s="45">
        <f>'Sales Schedule'!E45</f>
        <v>130.42420000000001</v>
      </c>
      <c r="E5" s="45">
        <f>'Sales Schedule'!F45</f>
        <v>144.12610000000001</v>
      </c>
      <c r="F5" s="45">
        <f>'Sales Schedule'!G45</f>
        <v>160.69260000000003</v>
      </c>
      <c r="G5" s="45">
        <f>'Sales Schedule'!H45</f>
        <v>179.32419999999996</v>
      </c>
      <c r="H5" s="45">
        <f>'Sales Schedule'!I45</f>
        <v>199.01220000000001</v>
      </c>
      <c r="I5" s="45">
        <f>'Sales Schedule'!J45</f>
        <v>208.96769999999998</v>
      </c>
      <c r="J5" s="45">
        <f>'Sales Schedule'!K45</f>
        <v>219.41830000000002</v>
      </c>
      <c r="K5" s="45">
        <f>'Sales Schedule'!L45</f>
        <v>230.39060000000001</v>
      </c>
    </row>
    <row r="6" spans="1:11" x14ac:dyDescent="0.25">
      <c r="A6" s="6" t="s">
        <v>681</v>
      </c>
      <c r="B6" s="45">
        <f>'Output Schedule'!B14</f>
        <v>3.8812500000000001</v>
      </c>
      <c r="C6" s="45">
        <f>'Output Schedule'!C14</f>
        <v>4.0753124999999999</v>
      </c>
      <c r="D6" s="45">
        <f>'Output Schedule'!D14</f>
        <v>4.5648</v>
      </c>
      <c r="E6" s="45">
        <f>'Output Schedule'!E14</f>
        <v>5.0929875000000004</v>
      </c>
      <c r="F6" s="45">
        <f>'Output Schedule'!F14</f>
        <v>5.661900000000001</v>
      </c>
      <c r="G6" s="45">
        <f>'Output Schedule'!G14</f>
        <v>5.9850000000000012</v>
      </c>
      <c r="H6" s="45">
        <f>'Output Schedule'!H14</f>
        <v>6.3000000000000016</v>
      </c>
      <c r="I6" s="45">
        <f>'Output Schedule'!I14</f>
        <v>6.3000000000000016</v>
      </c>
      <c r="J6" s="45">
        <f>'Output Schedule'!J14</f>
        <v>6.3000000000000016</v>
      </c>
      <c r="K6" s="45">
        <f>'Output Schedule'!K14</f>
        <v>6.3000000000000016</v>
      </c>
    </row>
    <row r="7" spans="1:11" hidden="1" x14ac:dyDescent="0.25">
      <c r="A7" s="6" t="s">
        <v>419</v>
      </c>
      <c r="B7" s="45">
        <f>'Farm Implement Business'!G10</f>
        <v>0</v>
      </c>
      <c r="C7" s="45">
        <f>'Farm Implement Business'!H10</f>
        <v>0</v>
      </c>
      <c r="D7" s="45">
        <f>'Farm Implement Business'!I10</f>
        <v>0</v>
      </c>
      <c r="E7" s="45">
        <f>'Farm Implement Business'!J10</f>
        <v>0</v>
      </c>
      <c r="F7" s="45">
        <f>'Farm Implement Business'!K10</f>
        <v>0</v>
      </c>
      <c r="G7" s="45">
        <f>'Farm Implement Business'!L10</f>
        <v>0</v>
      </c>
      <c r="H7" s="45">
        <f>'Farm Implement Business'!M10</f>
        <v>0</v>
      </c>
      <c r="I7" s="19"/>
      <c r="J7" s="242"/>
      <c r="K7" s="6"/>
    </row>
    <row r="8" spans="1:11" hidden="1" x14ac:dyDescent="0.25">
      <c r="A8" s="6" t="s">
        <v>614</v>
      </c>
      <c r="B8" s="19">
        <f>+'weigh Bridge'!C14</f>
        <v>0</v>
      </c>
      <c r="C8" s="19">
        <f>+'weigh Bridge'!D14</f>
        <v>0</v>
      </c>
      <c r="D8" s="19">
        <f>+'weigh Bridge'!E14</f>
        <v>0</v>
      </c>
      <c r="E8" s="19">
        <f>+'weigh Bridge'!F14</f>
        <v>0</v>
      </c>
      <c r="F8" s="19">
        <f>+'weigh Bridge'!G14</f>
        <v>0</v>
      </c>
      <c r="G8" s="19">
        <f>+'weigh Bridge'!H14</f>
        <v>0</v>
      </c>
      <c r="H8" s="19">
        <f>+'weigh Bridge'!I14</f>
        <v>0</v>
      </c>
      <c r="I8" s="19">
        <f>+'weigh Bridge'!J14</f>
        <v>0</v>
      </c>
      <c r="J8" s="19">
        <f>+'weigh Bridge'!K14</f>
        <v>0</v>
      </c>
      <c r="K8" s="19">
        <f>+'weigh Bridge'!L14</f>
        <v>0</v>
      </c>
    </row>
    <row r="9" spans="1:11" x14ac:dyDescent="0.25">
      <c r="A9" s="75" t="s">
        <v>166</v>
      </c>
      <c r="B9" s="22">
        <f>SUM(B5:B8)</f>
        <v>110.48125</v>
      </c>
      <c r="C9" s="22">
        <f t="shared" ref="C9:K9" si="0">SUM(C5:C8)</f>
        <v>120.5728125</v>
      </c>
      <c r="D9" s="22">
        <f t="shared" si="0"/>
        <v>134.989</v>
      </c>
      <c r="E9" s="22">
        <f t="shared" si="0"/>
        <v>149.2190875</v>
      </c>
      <c r="F9" s="22">
        <f t="shared" si="0"/>
        <v>166.35450000000003</v>
      </c>
      <c r="G9" s="22">
        <f t="shared" si="0"/>
        <v>185.30919999999998</v>
      </c>
      <c r="H9" s="22">
        <f t="shared" si="0"/>
        <v>205.31220000000002</v>
      </c>
      <c r="I9" s="22">
        <f t="shared" si="0"/>
        <v>215.26769999999999</v>
      </c>
      <c r="J9" s="22">
        <f t="shared" si="0"/>
        <v>225.71830000000003</v>
      </c>
      <c r="K9" s="22">
        <f t="shared" si="0"/>
        <v>236.69060000000002</v>
      </c>
    </row>
    <row r="10" spans="1:11" x14ac:dyDescent="0.25">
      <c r="A10" s="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76" t="s">
        <v>167</v>
      </c>
      <c r="B11" s="9">
        <f>'CS-FG'!C122</f>
        <v>0</v>
      </c>
      <c r="C11" s="9">
        <f>'CS-FG'!D122</f>
        <v>4.3499999999999996</v>
      </c>
      <c r="D11" s="9">
        <f>'CS-FG'!E122</f>
        <v>4.5674999999999999</v>
      </c>
      <c r="E11" s="9">
        <f>'CS-FG'!F122</f>
        <v>4.7957999999999998</v>
      </c>
      <c r="F11" s="9">
        <f>'CS-FG'!G122</f>
        <v>6.0196999999999994</v>
      </c>
      <c r="G11" s="9">
        <f>'CS-FG'!H122</f>
        <v>7.4754999999999994</v>
      </c>
      <c r="H11" s="9">
        <f>'CS-FG'!I122</f>
        <v>7.8493999999999993</v>
      </c>
      <c r="I11" s="9">
        <f>'CS-FG'!J122</f>
        <v>8.2419000000000011</v>
      </c>
      <c r="J11" s="9">
        <f>'CS-FG'!K122</f>
        <v>8.6541999999999994</v>
      </c>
      <c r="K11" s="9">
        <f>'CS-FG'!L122</f>
        <v>9.0869999999999997</v>
      </c>
    </row>
    <row r="12" spans="1:11" x14ac:dyDescent="0.25">
      <c r="A12" s="77" t="s">
        <v>168</v>
      </c>
      <c r="B12" s="9">
        <f>'CS-FG'!C123</f>
        <v>4.3499999999999996</v>
      </c>
      <c r="C12" s="9">
        <f>'CS-FG'!D123</f>
        <v>4.5674999999999999</v>
      </c>
      <c r="D12" s="9">
        <f>'CS-FG'!E123</f>
        <v>4.7957999999999998</v>
      </c>
      <c r="E12" s="9">
        <f>'CS-FG'!F123</f>
        <v>6.0196999999999994</v>
      </c>
      <c r="F12" s="9">
        <f>'CS-FG'!G123</f>
        <v>7.4754999999999994</v>
      </c>
      <c r="G12" s="9">
        <f>'CS-FG'!H123</f>
        <v>7.8493999999999993</v>
      </c>
      <c r="H12" s="9">
        <f>'CS-FG'!I123</f>
        <v>8.2419000000000011</v>
      </c>
      <c r="I12" s="9">
        <f>'CS-FG'!J123</f>
        <v>8.6541999999999994</v>
      </c>
      <c r="J12" s="9">
        <f>'CS-FG'!K123</f>
        <v>9.0869999999999997</v>
      </c>
      <c r="K12" s="9">
        <f>'CS-FG'!L123</f>
        <v>9.5414000000000012</v>
      </c>
    </row>
    <row r="13" spans="1:11" x14ac:dyDescent="0.25">
      <c r="A13" s="77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78" t="s">
        <v>169</v>
      </c>
      <c r="B14" s="22">
        <f>B9+B12-B11</f>
        <v>114.83125</v>
      </c>
      <c r="C14" s="22">
        <f t="shared" ref="C14:K14" si="1">C9+C12-C11</f>
        <v>120.7903125</v>
      </c>
      <c r="D14" s="22">
        <f t="shared" si="1"/>
        <v>135.21730000000002</v>
      </c>
      <c r="E14" s="22">
        <f t="shared" si="1"/>
        <v>150.44298750000002</v>
      </c>
      <c r="F14" s="22">
        <f t="shared" si="1"/>
        <v>167.81030000000004</v>
      </c>
      <c r="G14" s="22">
        <f t="shared" si="1"/>
        <v>185.68309999999997</v>
      </c>
      <c r="H14" s="22">
        <f t="shared" si="1"/>
        <v>205.7047</v>
      </c>
      <c r="I14" s="22">
        <f t="shared" si="1"/>
        <v>215.68</v>
      </c>
      <c r="J14" s="22">
        <f t="shared" si="1"/>
        <v>226.15110000000001</v>
      </c>
      <c r="K14" s="22">
        <f t="shared" si="1"/>
        <v>237.14500000000004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170</v>
      </c>
      <c r="B16" s="19">
        <f>'Purchase Schedule'!B9</f>
        <v>101.259</v>
      </c>
      <c r="C16" s="19">
        <f>'Purchase Schedule'!C9</f>
        <v>102.10724999999999</v>
      </c>
      <c r="D16" s="19">
        <f>'Purchase Schedule'!D9</f>
        <v>115.2394</v>
      </c>
      <c r="E16" s="19">
        <f>'Purchase Schedule'!E9</f>
        <v>127.97175</v>
      </c>
      <c r="F16" s="19">
        <f>'Purchase Schedule'!F9</f>
        <v>142.45689999999999</v>
      </c>
      <c r="G16" s="19">
        <f>'Purchase Schedule'!G9</f>
        <v>157.9042</v>
      </c>
      <c r="H16" s="19">
        <f>'Purchase Schedule'!H9</f>
        <v>174.89080000000001</v>
      </c>
      <c r="I16" s="19">
        <f>'Purchase Schedule'!I9</f>
        <v>182.74950000000001</v>
      </c>
      <c r="J16" s="19">
        <f>'Purchase Schedule'!J9</f>
        <v>191.88</v>
      </c>
      <c r="K16" s="19">
        <f>'Purchase Schedule'!K9</f>
        <v>201.46950000000001</v>
      </c>
    </row>
    <row r="17" spans="1:11" x14ac:dyDescent="0.25">
      <c r="A17" s="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76" t="s">
        <v>171</v>
      </c>
      <c r="B18" s="9">
        <f>'CS-RM'!B30</f>
        <v>0</v>
      </c>
      <c r="C18" s="9">
        <f>'CS-RM'!C30</f>
        <v>4.0140000000000002</v>
      </c>
      <c r="D18" s="9">
        <f>'CS-RM'!D30</f>
        <v>4.2146999999999997</v>
      </c>
      <c r="E18" s="9">
        <f>'CS-RM'!E30</f>
        <v>5.12</v>
      </c>
      <c r="F18" s="9">
        <f>'CS-RM'!F30</f>
        <v>5.3760000000000003</v>
      </c>
      <c r="G18" s="9">
        <f>'CS-RM'!G30</f>
        <v>5.6448999999999998</v>
      </c>
      <c r="H18" s="9">
        <f>'CS-RM'!H30</f>
        <v>6.5629000000000008</v>
      </c>
      <c r="I18" s="9">
        <f>'CS-RM'!I30</f>
        <v>7.7354000000000003</v>
      </c>
      <c r="J18" s="9">
        <f>'CS-RM'!J30</f>
        <v>8.1221999999999994</v>
      </c>
      <c r="K18" s="9">
        <f>'CS-RM'!K30</f>
        <v>8.5280000000000005</v>
      </c>
    </row>
    <row r="19" spans="1:11" x14ac:dyDescent="0.25">
      <c r="A19" s="77" t="s">
        <v>172</v>
      </c>
      <c r="B19" s="9">
        <f>'CS-RM'!B31</f>
        <v>4.0140000000000002</v>
      </c>
      <c r="C19" s="9">
        <f>'CS-RM'!C31</f>
        <v>4.2146999999999997</v>
      </c>
      <c r="D19" s="9">
        <f>'CS-RM'!D31</f>
        <v>5.12</v>
      </c>
      <c r="E19" s="9">
        <f>'CS-RM'!E31</f>
        <v>5.3760000000000003</v>
      </c>
      <c r="F19" s="9">
        <f>'CS-RM'!F31</f>
        <v>5.6448999999999998</v>
      </c>
      <c r="G19" s="9">
        <f>'CS-RM'!G31</f>
        <v>6.5629000000000008</v>
      </c>
      <c r="H19" s="9">
        <f>'CS-RM'!H31</f>
        <v>7.7354000000000003</v>
      </c>
      <c r="I19" s="9">
        <f>'CS-RM'!I31</f>
        <v>8.1221999999999994</v>
      </c>
      <c r="J19" s="9">
        <f>'CS-RM'!J31</f>
        <v>8.5280000000000005</v>
      </c>
      <c r="K19" s="9">
        <f>'CS-RM'!K31</f>
        <v>8.9542000000000002</v>
      </c>
    </row>
    <row r="20" spans="1:11" x14ac:dyDescent="0.25">
      <c r="A20" s="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78" t="s">
        <v>173</v>
      </c>
      <c r="B21" s="22">
        <f>B16+B18-B19</f>
        <v>97.245000000000005</v>
      </c>
      <c r="C21" s="22">
        <f t="shared" ref="C21:K21" si="2">C16+C18-C19</f>
        <v>101.90655</v>
      </c>
      <c r="D21" s="22">
        <f t="shared" si="2"/>
        <v>114.33409999999999</v>
      </c>
      <c r="E21" s="22">
        <f t="shared" si="2"/>
        <v>127.71574999999999</v>
      </c>
      <c r="F21" s="22">
        <f t="shared" si="2"/>
        <v>142.18799999999999</v>
      </c>
      <c r="G21" s="22">
        <f t="shared" si="2"/>
        <v>156.9862</v>
      </c>
      <c r="H21" s="22">
        <f t="shared" si="2"/>
        <v>173.71830000000003</v>
      </c>
      <c r="I21" s="22">
        <f t="shared" si="2"/>
        <v>182.36270000000002</v>
      </c>
      <c r="J21" s="22">
        <f t="shared" si="2"/>
        <v>191.4742</v>
      </c>
      <c r="K21" s="22">
        <f t="shared" si="2"/>
        <v>201.04329999999999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174</v>
      </c>
      <c r="B23" s="35">
        <f>'Opex Schedule'!C18+'Opex Schedule'!C27</f>
        <v>5.4423250000000003</v>
      </c>
      <c r="C23" s="35">
        <f>'Opex Schedule'!D18+'Opex Schedule'!D27</f>
        <v>5.7094412500000011</v>
      </c>
      <c r="D23" s="35">
        <f>'Opex Schedule'!E18+'Opex Schedule'!E27</f>
        <v>5.9899133125000006</v>
      </c>
      <c r="E23" s="35">
        <f>'Opex Schedule'!F18+'Opex Schedule'!F27</f>
        <v>6.2844089781250005</v>
      </c>
      <c r="F23" s="35">
        <f>'Opex Schedule'!G18+'Opex Schedule'!G27</f>
        <v>6.5936294270312512</v>
      </c>
      <c r="G23" s="35">
        <f>'Opex Schedule'!H18+'Opex Schedule'!H27</f>
        <v>6.9183108983828134</v>
      </c>
      <c r="H23" s="35">
        <f>'Opex Schedule'!I18+'Opex Schedule'!I27</f>
        <v>7.2592264433019551</v>
      </c>
      <c r="I23" s="35">
        <f>'Opex Schedule'!J18+'Opex Schedule'!J27</f>
        <v>7.6171877654670528</v>
      </c>
      <c r="J23" s="35">
        <f>'Opex Schedule'!K18+'Opex Schedule'!K27</f>
        <v>7.993047153740406</v>
      </c>
      <c r="K23" s="35">
        <f>'Opex Schedule'!L18+'Opex Schedule'!L27</f>
        <v>8.3876995114274262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175</v>
      </c>
      <c r="B25" s="22">
        <f>'Opex Schedule'!C42</f>
        <v>10.669599999999999</v>
      </c>
      <c r="C25" s="22">
        <f>'Opex Schedule'!D42</f>
        <v>11.476849999999999</v>
      </c>
      <c r="D25" s="22">
        <f>'Opex Schedule'!E42</f>
        <v>12.678000000000001</v>
      </c>
      <c r="E25" s="22">
        <f>'Opex Schedule'!F42</f>
        <v>14.026349999999999</v>
      </c>
      <c r="F25" s="22">
        <f>'Opex Schedule'!G42</f>
        <v>15.891500000000001</v>
      </c>
      <c r="G25" s="22">
        <f>'Opex Schedule'!H42</f>
        <v>17.98085</v>
      </c>
      <c r="H25" s="22">
        <f>'Opex Schedule'!I42</f>
        <v>20.077999999999999</v>
      </c>
      <c r="I25" s="22">
        <f>'Opex Schedule'!J42</f>
        <v>20.077999999999999</v>
      </c>
      <c r="J25" s="22">
        <f>'Opex Schedule'!K42</f>
        <v>20.077999999999999</v>
      </c>
      <c r="K25" s="22">
        <f>'Opex Schedule'!L42</f>
        <v>20.077999999999999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176</v>
      </c>
      <c r="B27" s="19">
        <f>'Project Glance'!B10/10</f>
        <v>0.15877500000000003</v>
      </c>
      <c r="C27" s="19">
        <f>B27</f>
        <v>0.15877500000000003</v>
      </c>
      <c r="D27" s="19">
        <f t="shared" ref="D27:K27" si="3">C27</f>
        <v>0.15877500000000003</v>
      </c>
      <c r="E27" s="19">
        <f t="shared" si="3"/>
        <v>0.15877500000000003</v>
      </c>
      <c r="F27" s="19">
        <f t="shared" si="3"/>
        <v>0.15877500000000003</v>
      </c>
      <c r="G27" s="19">
        <f t="shared" si="3"/>
        <v>0.15877500000000003</v>
      </c>
      <c r="H27" s="19">
        <f t="shared" si="3"/>
        <v>0.15877500000000003</v>
      </c>
      <c r="I27" s="19">
        <f t="shared" si="3"/>
        <v>0.15877500000000003</v>
      </c>
      <c r="J27" s="19">
        <f t="shared" si="3"/>
        <v>0.15877500000000003</v>
      </c>
      <c r="K27" s="19">
        <f t="shared" si="3"/>
        <v>0.15877500000000003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177</v>
      </c>
      <c r="B29" s="19">
        <f>B14-B21-B23-B25-B27</f>
        <v>1.3155499999999931</v>
      </c>
      <c r="C29" s="19">
        <f t="shared" ref="C29:K29" si="4">C14-C21-C23-C25-C27</f>
        <v>1.538696250000003</v>
      </c>
      <c r="D29" s="19">
        <f t="shared" si="4"/>
        <v>2.0565116875000293</v>
      </c>
      <c r="E29" s="19">
        <f t="shared" si="4"/>
        <v>2.2577035218750301</v>
      </c>
      <c r="F29" s="19">
        <f t="shared" si="4"/>
        <v>2.978395572968799</v>
      </c>
      <c r="G29" s="19">
        <f t="shared" si="4"/>
        <v>3.6389641016171574</v>
      </c>
      <c r="H29" s="19">
        <f t="shared" si="4"/>
        <v>4.49039855669802</v>
      </c>
      <c r="I29" s="19">
        <f t="shared" si="4"/>
        <v>5.4633372345329381</v>
      </c>
      <c r="J29" s="19">
        <f t="shared" si="4"/>
        <v>6.4470778462596119</v>
      </c>
      <c r="K29" s="19">
        <f t="shared" si="4"/>
        <v>7.477225488572623</v>
      </c>
    </row>
    <row r="30" spans="1:11" x14ac:dyDescent="0.25">
      <c r="A30" s="6" t="s">
        <v>178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179</v>
      </c>
      <c r="B31" s="9">
        <f>'WC Assessment'!C15*0.09</f>
        <v>0.52581557812500002</v>
      </c>
      <c r="C31" s="9">
        <f>'WC Assessment'!D15*0.09</f>
        <v>0.59999440078124999</v>
      </c>
      <c r="D31" s="9">
        <f>'WC Assessment'!E15*0.09</f>
        <v>0.67540098761718759</v>
      </c>
      <c r="E31" s="9">
        <f>'WC Assessment'!F15*0.09</f>
        <v>0.7744780041855468</v>
      </c>
      <c r="F31" s="9">
        <f>'WC Assessment'!G15*0.09</f>
        <v>0.8935721469729494</v>
      </c>
      <c r="G31" s="9">
        <f>'WC Assessment'!H15*0.09</f>
        <v>0.98692559494659671</v>
      </c>
      <c r="H31" s="9">
        <f>'WC Assessment'!I15*0.09</f>
        <v>1.0958162262564268</v>
      </c>
      <c r="I31" s="9">
        <f>'WC Assessment'!J15*0.09</f>
        <v>1.159536443819247</v>
      </c>
      <c r="J31" s="9">
        <f>'WC Assessment'!K15*0.09</f>
        <v>1.2214532972602103</v>
      </c>
      <c r="K31" s="9">
        <f>'WC Assessment'!L15*0.09</f>
        <v>1.286452127748221</v>
      </c>
    </row>
    <row r="32" spans="1:11" x14ac:dyDescent="0.25">
      <c r="A32" s="6" t="s">
        <v>180</v>
      </c>
      <c r="B32" s="19">
        <f>Depn!C20</f>
        <v>1.1164434999999999</v>
      </c>
      <c r="C32" s="19">
        <f>Depn!D20</f>
        <v>1.1164434999999999</v>
      </c>
      <c r="D32" s="19">
        <f>Depn!E20</f>
        <v>1.1164434999999999</v>
      </c>
      <c r="E32" s="19">
        <f>Depn!F20</f>
        <v>1.1164434999999999</v>
      </c>
      <c r="F32" s="19">
        <f>Depn!G20</f>
        <v>1.1164434999999999</v>
      </c>
      <c r="G32" s="19">
        <f>Depn!H20</f>
        <v>1.1164434999999999</v>
      </c>
      <c r="H32" s="19">
        <f>Depn!I20</f>
        <v>1.1164434999999999</v>
      </c>
      <c r="I32" s="19">
        <f>Depn!J20</f>
        <v>1.1164434999999999</v>
      </c>
      <c r="J32" s="19">
        <f>Depn!K20</f>
        <v>1.1164434999999999</v>
      </c>
      <c r="K32" s="19">
        <f>Depn!L20</f>
        <v>1.1164434999999999</v>
      </c>
    </row>
    <row r="33" spans="1:13" x14ac:dyDescent="0.25">
      <c r="A33" s="6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6" t="s">
        <v>181</v>
      </c>
      <c r="B34" s="19">
        <f>B29-B30-B31-B32</f>
        <v>-0.32670907812500682</v>
      </c>
      <c r="C34" s="19">
        <f t="shared" ref="C34:K34" si="5">C29-C30-C31-C32</f>
        <v>-0.17774165078124693</v>
      </c>
      <c r="D34" s="19">
        <f t="shared" si="5"/>
        <v>0.26466719988284182</v>
      </c>
      <c r="E34" s="19">
        <f t="shared" si="5"/>
        <v>0.36678201768948338</v>
      </c>
      <c r="F34" s="19">
        <f t="shared" si="5"/>
        <v>0.96837992599584943</v>
      </c>
      <c r="G34" s="19">
        <f t="shared" si="5"/>
        <v>1.5355950066705608</v>
      </c>
      <c r="H34" s="19">
        <f t="shared" si="5"/>
        <v>2.278138830441593</v>
      </c>
      <c r="I34" s="19">
        <f t="shared" si="5"/>
        <v>3.1873572907136909</v>
      </c>
      <c r="J34" s="19">
        <f t="shared" si="5"/>
        <v>4.1091810489994014</v>
      </c>
      <c r="K34" s="19">
        <f t="shared" si="5"/>
        <v>5.0743298608244016</v>
      </c>
    </row>
    <row r="35" spans="1:13" x14ac:dyDescent="0.25">
      <c r="A35" s="6" t="s">
        <v>184</v>
      </c>
      <c r="B35" s="19">
        <f>Tax!B13</f>
        <v>0</v>
      </c>
      <c r="C35" s="19">
        <f>Tax!C13</f>
        <v>0</v>
      </c>
      <c r="D35" s="19">
        <f>Tax!D13</f>
        <v>0</v>
      </c>
      <c r="E35" s="19">
        <f>Tax!E13</f>
        <v>0</v>
      </c>
      <c r="F35" s="19">
        <f>Tax!F13</f>
        <v>0</v>
      </c>
      <c r="G35" s="19">
        <f>Tax!G13</f>
        <v>0</v>
      </c>
      <c r="H35" s="19">
        <f>Tax!H13</f>
        <v>0</v>
      </c>
      <c r="I35" s="19">
        <f>Tax!I13</f>
        <v>0</v>
      </c>
      <c r="J35" s="19">
        <f>Tax!J13</f>
        <v>0.24923622262238834</v>
      </c>
      <c r="K35" s="19">
        <f>Tax!K13</f>
        <v>1.4446928654046844</v>
      </c>
      <c r="M35" s="13"/>
    </row>
    <row r="36" spans="1:13" x14ac:dyDescent="0.25">
      <c r="A36" s="8" t="s">
        <v>182</v>
      </c>
      <c r="B36" s="22">
        <f>B34-B35</f>
        <v>-0.32670907812500682</v>
      </c>
      <c r="C36" s="22">
        <f t="shared" ref="C36:K36" si="6">C34-C35</f>
        <v>-0.17774165078124693</v>
      </c>
      <c r="D36" s="22">
        <f t="shared" si="6"/>
        <v>0.26466719988284182</v>
      </c>
      <c r="E36" s="22">
        <f t="shared" si="6"/>
        <v>0.36678201768948338</v>
      </c>
      <c r="F36" s="22">
        <f t="shared" si="6"/>
        <v>0.96837992599584943</v>
      </c>
      <c r="G36" s="22">
        <f t="shared" si="6"/>
        <v>1.5355950066705608</v>
      </c>
      <c r="H36" s="22">
        <f t="shared" si="6"/>
        <v>2.278138830441593</v>
      </c>
      <c r="I36" s="22">
        <f t="shared" si="6"/>
        <v>3.1873572907136909</v>
      </c>
      <c r="J36" s="22">
        <f t="shared" si="6"/>
        <v>3.8599448263770131</v>
      </c>
      <c r="K36" s="22">
        <f t="shared" si="6"/>
        <v>3.629636995419717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3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183</v>
      </c>
      <c r="B41" s="19">
        <f>B36</f>
        <v>-0.32670907812500682</v>
      </c>
      <c r="C41" s="19">
        <f>B41+C36</f>
        <v>-0.50445072890625375</v>
      </c>
      <c r="D41" s="19">
        <f t="shared" ref="D41:K41" si="7">C41+D36</f>
        <v>-0.23978352902341193</v>
      </c>
      <c r="E41" s="19">
        <f t="shared" si="7"/>
        <v>0.12699848866607144</v>
      </c>
      <c r="F41" s="19">
        <f t="shared" si="7"/>
        <v>1.095378414661921</v>
      </c>
      <c r="G41" s="19">
        <f t="shared" si="7"/>
        <v>2.6309734213324818</v>
      </c>
      <c r="H41" s="19">
        <f t="shared" si="7"/>
        <v>4.9091122517740748</v>
      </c>
      <c r="I41" s="19">
        <f t="shared" si="7"/>
        <v>8.0964695424877657</v>
      </c>
      <c r="J41" s="19">
        <f t="shared" si="7"/>
        <v>11.956414368864779</v>
      </c>
      <c r="K41" s="19">
        <f t="shared" si="7"/>
        <v>15.586051364284497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topLeftCell="A32" zoomScale="60" zoomScaleNormal="100" workbookViewId="0">
      <selection activeCell="K85" sqref="K85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6" width="12.28515625" style="1" bestFit="1" customWidth="1"/>
    <col min="7" max="8" width="13.42578125" style="1" bestFit="1" customWidth="1"/>
    <col min="9" max="10" width="12.28515625" style="1" bestFit="1" customWidth="1"/>
    <col min="11" max="11" width="13.42578125" style="1" bestFit="1" customWidth="1"/>
    <col min="12" max="12" width="13" style="1" bestFit="1" customWidth="1"/>
    <col min="13" max="16384" width="9.140625" style="1"/>
  </cols>
  <sheetData>
    <row r="1" spans="1:12" x14ac:dyDescent="0.25">
      <c r="A1" s="132"/>
      <c r="B1" s="133" t="s">
        <v>663</v>
      </c>
    </row>
    <row r="2" spans="1:12" x14ac:dyDescent="0.25">
      <c r="A2" s="2">
        <v>1</v>
      </c>
      <c r="B2" s="3" t="s">
        <v>364</v>
      </c>
    </row>
    <row r="3" spans="1:12" x14ac:dyDescent="0.25">
      <c r="A3" s="134" t="s">
        <v>325</v>
      </c>
      <c r="B3" s="1" t="s">
        <v>365</v>
      </c>
      <c r="C3" s="1" t="s">
        <v>684</v>
      </c>
    </row>
    <row r="4" spans="1:12" x14ac:dyDescent="0.25">
      <c r="A4" s="134" t="s">
        <v>326</v>
      </c>
      <c r="B4" s="1" t="s">
        <v>366</v>
      </c>
      <c r="C4" s="1" t="s">
        <v>684</v>
      </c>
    </row>
    <row r="6" spans="1:12" x14ac:dyDescent="0.25">
      <c r="A6" s="2">
        <v>2</v>
      </c>
      <c r="B6" s="3" t="s">
        <v>356</v>
      </c>
      <c r="C6" s="3" t="s">
        <v>367</v>
      </c>
      <c r="D6" s="3" t="s">
        <v>447</v>
      </c>
    </row>
    <row r="7" spans="1:12" x14ac:dyDescent="0.25">
      <c r="B7" s="1" t="s">
        <v>368</v>
      </c>
      <c r="C7" s="82">
        <v>3.1699999999999999E-2</v>
      </c>
      <c r="D7" s="82">
        <v>6.3299999999999995E-2</v>
      </c>
    </row>
    <row r="8" spans="1:12" x14ac:dyDescent="0.25">
      <c r="B8" s="1" t="s">
        <v>369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370</v>
      </c>
      <c r="C10" s="3" t="str">
        <f>+'Output Schedule'!B4</f>
        <v>1.5 TPD</v>
      </c>
    </row>
    <row r="12" spans="1:12" x14ac:dyDescent="0.25">
      <c r="A12" s="2">
        <v>4</v>
      </c>
      <c r="B12" s="3" t="s">
        <v>140</v>
      </c>
      <c r="C12" s="129" t="s">
        <v>36</v>
      </c>
      <c r="D12" s="129" t="s">
        <v>37</v>
      </c>
      <c r="E12" s="129" t="s">
        <v>38</v>
      </c>
      <c r="F12" s="129" t="s">
        <v>39</v>
      </c>
      <c r="G12" s="129" t="s">
        <v>40</v>
      </c>
      <c r="H12" s="129" t="s">
        <v>41</v>
      </c>
      <c r="I12" s="129" t="s">
        <v>42</v>
      </c>
      <c r="J12" s="219" t="s">
        <v>490</v>
      </c>
      <c r="K12" s="219" t="s">
        <v>491</v>
      </c>
      <c r="L12" s="219" t="s">
        <v>492</v>
      </c>
    </row>
    <row r="13" spans="1:12" x14ac:dyDescent="0.25">
      <c r="A13" s="134" t="s">
        <v>325</v>
      </c>
      <c r="B13" s="128" t="s">
        <v>371</v>
      </c>
      <c r="C13" s="130">
        <f>'Output Schedule'!B8</f>
        <v>0.75</v>
      </c>
      <c r="D13" s="130">
        <f>'Output Schedule'!C8</f>
        <v>0.75</v>
      </c>
      <c r="E13" s="130">
        <f>'Output Schedule'!D8</f>
        <v>0.8</v>
      </c>
      <c r="F13" s="130">
        <f>'Output Schedule'!E8</f>
        <v>0.85000000000000009</v>
      </c>
      <c r="G13" s="130">
        <f>'Output Schedule'!F8</f>
        <v>0.90000000000000013</v>
      </c>
      <c r="H13" s="130">
        <f>'Output Schedule'!G8</f>
        <v>0.95000000000000018</v>
      </c>
      <c r="I13" s="130">
        <f>'Output Schedule'!H8</f>
        <v>1.0000000000000002</v>
      </c>
      <c r="J13" s="130">
        <f>'Output Schedule'!I8</f>
        <v>1.0000000000000002</v>
      </c>
      <c r="K13" s="130">
        <f>'Output Schedule'!J8</f>
        <v>1.0000000000000002</v>
      </c>
      <c r="L13" s="130">
        <f>'Output Schedule'!K8</f>
        <v>1.0000000000000002</v>
      </c>
    </row>
    <row r="14" spans="1:12" x14ac:dyDescent="0.25">
      <c r="A14" s="134" t="s">
        <v>326</v>
      </c>
      <c r="B14" s="128" t="s">
        <v>157</v>
      </c>
      <c r="C14" s="130">
        <f>'Output Schedule'!B9</f>
        <v>0.75</v>
      </c>
      <c r="D14" s="130">
        <f>'Output Schedule'!C9</f>
        <v>0.75</v>
      </c>
      <c r="E14" s="130">
        <f>'Output Schedule'!D9</f>
        <v>0.8</v>
      </c>
      <c r="F14" s="130">
        <f>'Output Schedule'!E9</f>
        <v>0.85000000000000009</v>
      </c>
      <c r="G14" s="130">
        <f>'Output Schedule'!F9</f>
        <v>0.90000000000000013</v>
      </c>
      <c r="H14" s="130">
        <f>'Output Schedule'!G9</f>
        <v>0.95000000000000018</v>
      </c>
      <c r="I14" s="130">
        <f>'Output Schedule'!H9</f>
        <v>1.0000000000000002</v>
      </c>
      <c r="J14" s="130">
        <f>'Output Schedule'!I9</f>
        <v>1.0000000000000002</v>
      </c>
      <c r="K14" s="130">
        <f>'Output Schedule'!J9</f>
        <v>1.0000000000000002</v>
      </c>
      <c r="L14" s="130">
        <f>'Output Schedule'!K9</f>
        <v>1.0000000000000002</v>
      </c>
    </row>
    <row r="15" spans="1:12" hidden="1" x14ac:dyDescent="0.25">
      <c r="A15" s="134" t="s">
        <v>327</v>
      </c>
      <c r="B15" s="128" t="s">
        <v>446</v>
      </c>
      <c r="C15" s="130">
        <f>'Farm Implement Business'!G4</f>
        <v>0.4</v>
      </c>
      <c r="D15" s="130">
        <f>'Farm Implement Business'!H4</f>
        <v>0.5</v>
      </c>
      <c r="E15" s="130">
        <f>'Farm Implement Business'!I4</f>
        <v>0.55000000000000004</v>
      </c>
      <c r="F15" s="130">
        <f>'Farm Implement Business'!J4</f>
        <v>0.60000000000000009</v>
      </c>
      <c r="G15" s="130">
        <f>'Farm Implement Business'!K4</f>
        <v>0.65000000000000013</v>
      </c>
      <c r="H15" s="130">
        <f>'Farm Implement Business'!L4</f>
        <v>0.65000000000000013</v>
      </c>
      <c r="I15" s="130">
        <f>'Farm Implement Business'!M4</f>
        <v>0.65000000000000013</v>
      </c>
    </row>
    <row r="17" spans="1:12" x14ac:dyDescent="0.25">
      <c r="A17" s="2">
        <v>5</v>
      </c>
      <c r="B17" s="3" t="s">
        <v>654</v>
      </c>
    </row>
    <row r="18" spans="1:12" x14ac:dyDescent="0.25">
      <c r="A18" s="134" t="s">
        <v>325</v>
      </c>
      <c r="B18" s="128" t="str">
        <f>+'Output Schedule'!A27</f>
        <v>Tur Dall</v>
      </c>
      <c r="C18" s="267">
        <f>+'Output Schedule'!L27</f>
        <v>0.73</v>
      </c>
    </row>
    <row r="19" spans="1:12" x14ac:dyDescent="0.25">
      <c r="A19" s="134" t="s">
        <v>326</v>
      </c>
      <c r="B19" s="128" t="str">
        <f>+'Output Schedule'!A28</f>
        <v>Cattle Feed</v>
      </c>
      <c r="C19" s="267">
        <f>+'Output Schedule'!L28</f>
        <v>0.25</v>
      </c>
    </row>
    <row r="20" spans="1:12" hidden="1" x14ac:dyDescent="0.25">
      <c r="A20" s="134" t="s">
        <v>327</v>
      </c>
      <c r="B20" s="128" t="str">
        <f>+'Output Schedule'!A29</f>
        <v>Bhusa</v>
      </c>
      <c r="C20" s="267">
        <f>+'Output Schedule'!L29</f>
        <v>0</v>
      </c>
    </row>
    <row r="21" spans="1:12" hidden="1" x14ac:dyDescent="0.25">
      <c r="A21" s="134" t="s">
        <v>427</v>
      </c>
      <c r="B21" s="128" t="str">
        <f>+'Output Schedule'!A30</f>
        <v>Powder</v>
      </c>
      <c r="C21" s="267">
        <f>+'Output Schedule'!L30</f>
        <v>0</v>
      </c>
    </row>
    <row r="22" spans="1:12" x14ac:dyDescent="0.25">
      <c r="A22" s="134" t="s">
        <v>652</v>
      </c>
      <c r="B22" s="128" t="str">
        <f>+'Output Schedule'!A31</f>
        <v>Waste</v>
      </c>
      <c r="C22" s="267">
        <f>+'Output Schedule'!L31</f>
        <v>0.02</v>
      </c>
    </row>
    <row r="23" spans="1:12" x14ac:dyDescent="0.25">
      <c r="A23" s="134"/>
      <c r="B23" s="128"/>
      <c r="C23" s="267"/>
    </row>
    <row r="24" spans="1:12" x14ac:dyDescent="0.25">
      <c r="A24" s="301">
        <v>5</v>
      </c>
      <c r="B24" s="3" t="s">
        <v>655</v>
      </c>
    </row>
    <row r="25" spans="1:12" x14ac:dyDescent="0.25">
      <c r="A25" s="134" t="s">
        <v>325</v>
      </c>
      <c r="B25" s="128" t="str">
        <f>+'Output Schedule'!A34</f>
        <v>Chana Dall</v>
      </c>
      <c r="C25" s="267">
        <f>+'Output Schedule'!L34</f>
        <v>0.75</v>
      </c>
    </row>
    <row r="26" spans="1:12" x14ac:dyDescent="0.25">
      <c r="A26" s="134" t="s">
        <v>326</v>
      </c>
      <c r="B26" s="128" t="str">
        <f>+'Output Schedule'!A35</f>
        <v>Chuni</v>
      </c>
      <c r="C26" s="267">
        <f>+'Output Schedule'!L35</f>
        <v>0.08</v>
      </c>
    </row>
    <row r="27" spans="1:12" x14ac:dyDescent="0.25">
      <c r="A27" s="134" t="s">
        <v>327</v>
      </c>
      <c r="B27" s="128" t="str">
        <f>+'Output Schedule'!A36</f>
        <v>Bhusa</v>
      </c>
      <c r="C27" s="267">
        <f>+'Output Schedule'!L36</f>
        <v>0.15</v>
      </c>
    </row>
    <row r="28" spans="1:12" x14ac:dyDescent="0.25">
      <c r="A28" s="134" t="s">
        <v>427</v>
      </c>
      <c r="B28" s="128" t="str">
        <f>+'Output Schedule'!A37</f>
        <v>Powder</v>
      </c>
      <c r="C28" s="267">
        <f>+'Output Schedule'!L37</f>
        <v>0</v>
      </c>
    </row>
    <row r="29" spans="1:12" x14ac:dyDescent="0.25">
      <c r="A29" s="134" t="s">
        <v>652</v>
      </c>
      <c r="B29" s="128" t="str">
        <f>+'Output Schedule'!A38</f>
        <v>Waste</v>
      </c>
      <c r="C29" s="267">
        <f>+'Output Schedule'!L38</f>
        <v>0.02</v>
      </c>
    </row>
    <row r="30" spans="1:12" x14ac:dyDescent="0.25">
      <c r="A30" s="134"/>
      <c r="B30" s="128"/>
      <c r="C30" s="267"/>
    </row>
    <row r="32" spans="1:12" x14ac:dyDescent="0.25">
      <c r="A32" s="2">
        <v>6</v>
      </c>
      <c r="B32" s="131" t="s">
        <v>372</v>
      </c>
      <c r="C32" s="129" t="s">
        <v>36</v>
      </c>
      <c r="D32" s="129" t="s">
        <v>37</v>
      </c>
      <c r="E32" s="129" t="s">
        <v>38</v>
      </c>
      <c r="F32" s="129" t="s">
        <v>39</v>
      </c>
      <c r="G32" s="129" t="s">
        <v>40</v>
      </c>
      <c r="H32" s="129" t="s">
        <v>41</v>
      </c>
      <c r="I32" s="129" t="s">
        <v>42</v>
      </c>
      <c r="J32" s="219" t="s">
        <v>490</v>
      </c>
      <c r="K32" s="219" t="s">
        <v>491</v>
      </c>
      <c r="L32" s="219" t="s">
        <v>492</v>
      </c>
    </row>
    <row r="33" spans="1:12" x14ac:dyDescent="0.25">
      <c r="B33" s="1" t="str">
        <f>'Output Schedule'!A42</f>
        <v>No of days of opertaion (JW Services)</v>
      </c>
      <c r="C33" s="1">
        <f>'Output Schedule'!B42</f>
        <v>113</v>
      </c>
      <c r="D33" s="1">
        <f>'Output Schedule'!C42</f>
        <v>113</v>
      </c>
      <c r="E33" s="1">
        <f>'Output Schedule'!D42</f>
        <v>120</v>
      </c>
      <c r="F33" s="1">
        <f>'Output Schedule'!E42</f>
        <v>128</v>
      </c>
      <c r="G33" s="1">
        <f>'Output Schedule'!F42</f>
        <v>135</v>
      </c>
      <c r="H33" s="1">
        <f>'Output Schedule'!G42</f>
        <v>143</v>
      </c>
      <c r="I33" s="1">
        <f>'Output Schedule'!H42</f>
        <v>150</v>
      </c>
      <c r="J33" s="1">
        <f>'Output Schedule'!I42</f>
        <v>150</v>
      </c>
      <c r="K33" s="1">
        <f>'Output Schedule'!J42</f>
        <v>150</v>
      </c>
      <c r="L33" s="1">
        <f>'Output Schedule'!K42</f>
        <v>150</v>
      </c>
    </row>
    <row r="34" spans="1:12" x14ac:dyDescent="0.25">
      <c r="B34" s="1" t="str">
        <f>'Output Schedule'!A43</f>
        <v>No of days of opertaion (Captive Operations)</v>
      </c>
      <c r="C34" s="1">
        <f>'Output Schedule'!B43</f>
        <v>113</v>
      </c>
      <c r="D34" s="1">
        <f>'Output Schedule'!C43</f>
        <v>113</v>
      </c>
      <c r="E34" s="1">
        <f>'Output Schedule'!D43</f>
        <v>120</v>
      </c>
      <c r="F34" s="1">
        <f>'Output Schedule'!E43</f>
        <v>128</v>
      </c>
      <c r="G34" s="1">
        <f>'Output Schedule'!F43</f>
        <v>135</v>
      </c>
      <c r="H34" s="1">
        <f>'Output Schedule'!G43</f>
        <v>143</v>
      </c>
      <c r="I34" s="1">
        <f>'Output Schedule'!H43</f>
        <v>150</v>
      </c>
      <c r="J34" s="1">
        <f>'Output Schedule'!I43</f>
        <v>150</v>
      </c>
      <c r="K34" s="1">
        <f>'Output Schedule'!J43</f>
        <v>150</v>
      </c>
      <c r="L34" s="1">
        <f>'Output Schedule'!K43</f>
        <v>150</v>
      </c>
    </row>
    <row r="36" spans="1:12" x14ac:dyDescent="0.25">
      <c r="B36" s="3" t="str">
        <f>'Output Schedule'!A45</f>
        <v>Total Working days of the Facilty</v>
      </c>
      <c r="C36" s="3">
        <f>'Output Schedule'!B45</f>
        <v>226</v>
      </c>
      <c r="D36" s="3">
        <f>'Output Schedule'!C45</f>
        <v>226</v>
      </c>
      <c r="E36" s="3">
        <f>'Output Schedule'!D45</f>
        <v>240</v>
      </c>
      <c r="F36" s="3">
        <f>'Output Schedule'!E45</f>
        <v>256</v>
      </c>
      <c r="G36" s="3">
        <f>'Output Schedule'!F45</f>
        <v>270</v>
      </c>
      <c r="H36" s="3">
        <f>'Output Schedule'!G45</f>
        <v>286</v>
      </c>
      <c r="I36" s="3">
        <f>'Output Schedule'!H45</f>
        <v>300</v>
      </c>
      <c r="J36" s="3">
        <f>'Output Schedule'!I45</f>
        <v>300</v>
      </c>
      <c r="K36" s="3">
        <f>'Output Schedule'!J45</f>
        <v>300</v>
      </c>
      <c r="L36" s="3">
        <f>'Output Schedule'!K45</f>
        <v>300</v>
      </c>
    </row>
    <row r="38" spans="1:12" x14ac:dyDescent="0.25">
      <c r="A38" s="60">
        <v>7</v>
      </c>
      <c r="B38" s="1" t="s">
        <v>373</v>
      </c>
      <c r="C38" s="1" t="s">
        <v>374</v>
      </c>
    </row>
    <row r="39" spans="1:12" x14ac:dyDescent="0.25">
      <c r="A39" s="60">
        <v>8</v>
      </c>
      <c r="B39" s="1" t="s">
        <v>375</v>
      </c>
      <c r="C39" s="1" t="s">
        <v>374</v>
      </c>
    </row>
    <row r="40" spans="1:12" hidden="1" x14ac:dyDescent="0.25">
      <c r="A40" s="60">
        <v>9</v>
      </c>
      <c r="B40" s="1" t="s">
        <v>452</v>
      </c>
      <c r="C40" s="1" t="s">
        <v>460</v>
      </c>
    </row>
    <row r="42" spans="1:12" x14ac:dyDescent="0.25">
      <c r="A42" s="60">
        <v>9</v>
      </c>
      <c r="B42" s="3" t="s">
        <v>376</v>
      </c>
      <c r="C42" s="129" t="s">
        <v>36</v>
      </c>
      <c r="D42" s="129" t="s">
        <v>37</v>
      </c>
      <c r="E42" s="129" t="s">
        <v>38</v>
      </c>
      <c r="F42" s="129" t="s">
        <v>39</v>
      </c>
      <c r="G42" s="129" t="s">
        <v>40</v>
      </c>
      <c r="H42" s="129" t="s">
        <v>41</v>
      </c>
      <c r="I42" s="129" t="s">
        <v>42</v>
      </c>
      <c r="J42" s="219" t="s">
        <v>490</v>
      </c>
      <c r="K42" s="219" t="s">
        <v>491</v>
      </c>
      <c r="L42" s="219" t="s">
        <v>492</v>
      </c>
    </row>
    <row r="43" spans="1:12" x14ac:dyDescent="0.25">
      <c r="B43" s="1" t="s">
        <v>673</v>
      </c>
      <c r="C43" s="25">
        <f>'Purchase Schedule'!B4</f>
        <v>63000</v>
      </c>
      <c r="D43" s="25">
        <f>'Purchase Schedule'!C4</f>
        <v>66150</v>
      </c>
      <c r="E43" s="25">
        <f>'Purchase Schedule'!D4</f>
        <v>69460</v>
      </c>
      <c r="F43" s="25">
        <f>'Purchase Schedule'!E4</f>
        <v>72930</v>
      </c>
      <c r="G43" s="25">
        <f>'Purchase Schedule'!F4</f>
        <v>76580</v>
      </c>
      <c r="H43" s="25">
        <f>'Purchase Schedule'!G4</f>
        <v>80410</v>
      </c>
      <c r="I43" s="25">
        <f>'Purchase Schedule'!H4</f>
        <v>84430</v>
      </c>
      <c r="J43" s="25">
        <f>'Purchase Schedule'!I4</f>
        <v>88650</v>
      </c>
      <c r="K43" s="25">
        <f>'Purchase Schedule'!J4</f>
        <v>93080</v>
      </c>
      <c r="L43" s="25">
        <f>'Purchase Schedule'!K4</f>
        <v>97730</v>
      </c>
    </row>
    <row r="44" spans="1:12" x14ac:dyDescent="0.25">
      <c r="B44" s="1" t="s">
        <v>674</v>
      </c>
      <c r="C44" s="25">
        <f>+'Purchase Schedule'!B7</f>
        <v>49800</v>
      </c>
      <c r="D44" s="25">
        <f>+'Purchase Schedule'!C7</f>
        <v>52290</v>
      </c>
      <c r="E44" s="25">
        <f>+'Purchase Schedule'!D7</f>
        <v>54900</v>
      </c>
      <c r="F44" s="25">
        <f>+'Purchase Schedule'!E7</f>
        <v>57650</v>
      </c>
      <c r="G44" s="25">
        <f>+'Purchase Schedule'!F7</f>
        <v>60530</v>
      </c>
      <c r="H44" s="25">
        <f>+'Purchase Schedule'!G7</f>
        <v>63560</v>
      </c>
      <c r="I44" s="25">
        <f>+'Purchase Schedule'!H7</f>
        <v>66740</v>
      </c>
      <c r="J44" s="25">
        <f>+'Purchase Schedule'!I7</f>
        <v>70080</v>
      </c>
      <c r="K44" s="25">
        <f>+'Purchase Schedule'!J7</f>
        <v>73580</v>
      </c>
      <c r="L44" s="25">
        <f>+'Purchase Schedule'!K7</f>
        <v>77260</v>
      </c>
    </row>
    <row r="45" spans="1:12" hidden="1" x14ac:dyDescent="0.25">
      <c r="C45" s="188" t="s">
        <v>36</v>
      </c>
      <c r="D45" s="188" t="s">
        <v>37</v>
      </c>
      <c r="E45" s="188" t="s">
        <v>38</v>
      </c>
      <c r="F45" s="188" t="s">
        <v>39</v>
      </c>
      <c r="G45" s="188" t="s">
        <v>40</v>
      </c>
      <c r="H45" s="188" t="s">
        <v>41</v>
      </c>
      <c r="I45" s="188" t="s">
        <v>42</v>
      </c>
    </row>
    <row r="46" spans="1:12" hidden="1" x14ac:dyDescent="0.25">
      <c r="A46" s="60">
        <v>11</v>
      </c>
      <c r="B46" s="1" t="s">
        <v>454</v>
      </c>
      <c r="C46" s="25">
        <f>'Production Level Support'!B3</f>
        <v>0</v>
      </c>
      <c r="D46" s="25">
        <f>'Production Level Support'!C3</f>
        <v>0</v>
      </c>
      <c r="E46" s="25">
        <f>'Production Level Support'!D3</f>
        <v>0</v>
      </c>
      <c r="F46" s="25">
        <f>'Production Level Support'!E3</f>
        <v>0</v>
      </c>
      <c r="G46" s="25">
        <f>'Production Level Support'!F3</f>
        <v>0</v>
      </c>
      <c r="H46" s="25">
        <f>'Production Level Support'!G3</f>
        <v>0</v>
      </c>
      <c r="I46" s="25">
        <f>'Production Level Support'!H3</f>
        <v>0</v>
      </c>
    </row>
    <row r="47" spans="1:12" hidden="1" x14ac:dyDescent="0.25">
      <c r="C47" s="25"/>
      <c r="D47" s="25"/>
      <c r="E47" s="25"/>
      <c r="F47" s="25"/>
      <c r="G47" s="25"/>
      <c r="H47" s="25"/>
      <c r="I47" s="25"/>
    </row>
    <row r="48" spans="1:12" hidden="1" x14ac:dyDescent="0.25">
      <c r="C48" s="188" t="s">
        <v>36</v>
      </c>
      <c r="D48" s="188" t="s">
        <v>37</v>
      </c>
      <c r="E48" s="188" t="s">
        <v>38</v>
      </c>
      <c r="F48" s="188" t="s">
        <v>39</v>
      </c>
      <c r="G48" s="188" t="s">
        <v>40</v>
      </c>
      <c r="H48" s="188" t="s">
        <v>41</v>
      </c>
      <c r="I48" s="188" t="s">
        <v>42</v>
      </c>
    </row>
    <row r="49" spans="1:12" hidden="1" x14ac:dyDescent="0.25">
      <c r="A49" s="60">
        <v>12</v>
      </c>
      <c r="B49" s="1" t="s">
        <v>457</v>
      </c>
      <c r="C49" s="38">
        <v>0.85</v>
      </c>
      <c r="D49" s="38">
        <v>0.85</v>
      </c>
      <c r="E49" s="38">
        <v>0.85</v>
      </c>
      <c r="F49" s="38">
        <v>0.85</v>
      </c>
      <c r="G49" s="38">
        <v>0.85</v>
      </c>
      <c r="H49" s="38">
        <v>0.85</v>
      </c>
      <c r="I49" s="38">
        <v>0.85</v>
      </c>
    </row>
    <row r="50" spans="1:12" x14ac:dyDescent="0.25">
      <c r="C50" s="25"/>
      <c r="D50" s="25"/>
      <c r="E50" s="25"/>
      <c r="F50" s="25"/>
      <c r="G50" s="25"/>
      <c r="H50" s="25"/>
      <c r="I50" s="25"/>
    </row>
    <row r="51" spans="1:12" x14ac:dyDescent="0.25">
      <c r="A51" s="60">
        <v>10</v>
      </c>
      <c r="B51" s="3" t="s">
        <v>455</v>
      </c>
      <c r="C51" s="129" t="s">
        <v>36</v>
      </c>
      <c r="D51" s="129" t="s">
        <v>37</v>
      </c>
      <c r="E51" s="129" t="s">
        <v>38</v>
      </c>
      <c r="F51" s="129" t="s">
        <v>39</v>
      </c>
      <c r="G51" s="129" t="s">
        <v>40</v>
      </c>
      <c r="H51" s="129" t="s">
        <v>41</v>
      </c>
      <c r="I51" s="129" t="s">
        <v>42</v>
      </c>
      <c r="J51" s="219" t="s">
        <v>490</v>
      </c>
      <c r="K51" s="219" t="s">
        <v>491</v>
      </c>
      <c r="L51" s="219" t="s">
        <v>492</v>
      </c>
    </row>
    <row r="52" spans="1:12" x14ac:dyDescent="0.25">
      <c r="B52" s="1" t="s">
        <v>685</v>
      </c>
      <c r="C52" s="25">
        <f>'Output Schedule'!B13</f>
        <v>2300</v>
      </c>
      <c r="D52" s="25">
        <f>'Output Schedule'!C13</f>
        <v>2415</v>
      </c>
      <c r="E52" s="25">
        <f>'Output Schedule'!D13</f>
        <v>2536</v>
      </c>
      <c r="F52" s="25">
        <f>'Output Schedule'!E13</f>
        <v>2663</v>
      </c>
      <c r="G52" s="25">
        <f>'Output Schedule'!F13</f>
        <v>2796</v>
      </c>
      <c r="H52" s="25">
        <f>'Output Schedule'!G13</f>
        <v>2800</v>
      </c>
      <c r="I52" s="25">
        <f>'Output Schedule'!H13</f>
        <v>2800</v>
      </c>
      <c r="J52" s="25">
        <f>'Output Schedule'!I13</f>
        <v>2800</v>
      </c>
      <c r="K52" s="25">
        <f>'Output Schedule'!J13</f>
        <v>2800</v>
      </c>
      <c r="L52" s="25">
        <f>'Output Schedule'!K13</f>
        <v>2800</v>
      </c>
    </row>
    <row r="53" spans="1:12" hidden="1" x14ac:dyDescent="0.25">
      <c r="A53" s="60" t="s">
        <v>326</v>
      </c>
      <c r="B53" s="1" t="s">
        <v>456</v>
      </c>
      <c r="C53" s="25"/>
      <c r="D53" s="25"/>
      <c r="E53" s="25"/>
      <c r="F53" s="25"/>
      <c r="G53" s="25"/>
      <c r="H53" s="25"/>
      <c r="I53" s="25"/>
    </row>
    <row r="54" spans="1:12" hidden="1" x14ac:dyDescent="0.25">
      <c r="B54" s="189" t="s">
        <v>458</v>
      </c>
      <c r="C54" s="25">
        <f>'Farm Implement Business'!E5</f>
        <v>1500</v>
      </c>
      <c r="D54" s="25"/>
      <c r="E54" s="25"/>
      <c r="F54" s="25"/>
      <c r="G54" s="25"/>
      <c r="H54" s="25"/>
      <c r="I54" s="25"/>
    </row>
    <row r="55" spans="1:12" hidden="1" x14ac:dyDescent="0.25">
      <c r="B55" s="189" t="s">
        <v>459</v>
      </c>
      <c r="C55" s="25">
        <f>'Farm Implement Business'!E6</f>
        <v>1000</v>
      </c>
      <c r="D55" s="25"/>
      <c r="E55" s="25"/>
      <c r="F55" s="25"/>
      <c r="G55" s="25"/>
      <c r="H55" s="25"/>
      <c r="I55" s="25"/>
    </row>
    <row r="57" spans="1:12" x14ac:dyDescent="0.25">
      <c r="A57" s="60">
        <v>11</v>
      </c>
      <c r="B57" s="3" t="s">
        <v>377</v>
      </c>
      <c r="C57" s="1" t="s">
        <v>378</v>
      </c>
    </row>
    <row r="59" spans="1:12" x14ac:dyDescent="0.25">
      <c r="A59" s="60">
        <v>12</v>
      </c>
      <c r="B59" s="3" t="s">
        <v>379</v>
      </c>
      <c r="C59" s="129" t="s">
        <v>36</v>
      </c>
      <c r="D59" s="129" t="s">
        <v>37</v>
      </c>
      <c r="E59" s="129" t="s">
        <v>38</v>
      </c>
      <c r="F59" s="129" t="s">
        <v>39</v>
      </c>
      <c r="G59" s="129" t="s">
        <v>40</v>
      </c>
      <c r="H59" s="129" t="s">
        <v>41</v>
      </c>
      <c r="I59" s="129" t="s">
        <v>42</v>
      </c>
      <c r="J59" s="219" t="s">
        <v>490</v>
      </c>
      <c r="K59" s="219" t="s">
        <v>491</v>
      </c>
      <c r="L59" s="219" t="s">
        <v>492</v>
      </c>
    </row>
    <row r="60" spans="1:12" x14ac:dyDescent="0.25">
      <c r="B60" s="3" t="s">
        <v>673</v>
      </c>
      <c r="C60" s="300"/>
      <c r="D60" s="300"/>
      <c r="E60" s="300"/>
      <c r="F60" s="300"/>
      <c r="G60" s="300"/>
      <c r="H60" s="300"/>
      <c r="I60" s="300"/>
      <c r="J60" s="300"/>
      <c r="K60" s="300"/>
      <c r="L60" s="300"/>
    </row>
    <row r="61" spans="1:12" x14ac:dyDescent="0.25">
      <c r="A61" s="134" t="s">
        <v>325</v>
      </c>
      <c r="B61" s="1" t="str">
        <f>'CS-FG'!B35</f>
        <v>Tur Dall</v>
      </c>
      <c r="C61" s="25">
        <f>'CS-FG'!C35</f>
        <v>85000</v>
      </c>
      <c r="D61" s="25">
        <f>'CS-FG'!D35</f>
        <v>89250</v>
      </c>
      <c r="E61" s="25">
        <f>'CS-FG'!E35</f>
        <v>93710</v>
      </c>
      <c r="F61" s="25">
        <f>'CS-FG'!F35</f>
        <v>98400</v>
      </c>
      <c r="G61" s="25">
        <f>'CS-FG'!G35</f>
        <v>103320</v>
      </c>
      <c r="H61" s="25">
        <f>'CS-FG'!H35</f>
        <v>108490</v>
      </c>
      <c r="I61" s="25">
        <f>'CS-FG'!I35</f>
        <v>113910</v>
      </c>
      <c r="J61" s="25">
        <f>'CS-FG'!J35</f>
        <v>119610</v>
      </c>
      <c r="K61" s="25">
        <f>'CS-FG'!K35</f>
        <v>125590</v>
      </c>
      <c r="L61" s="25">
        <f>'CS-FG'!L35</f>
        <v>131870</v>
      </c>
    </row>
    <row r="62" spans="1:12" x14ac:dyDescent="0.25">
      <c r="A62" s="134" t="s">
        <v>326</v>
      </c>
      <c r="B62" s="1" t="str">
        <f>'CS-FG'!B36</f>
        <v>Cattle Feed</v>
      </c>
      <c r="C62" s="25">
        <f>'CS-FG'!C36</f>
        <v>20000</v>
      </c>
      <c r="D62" s="25">
        <f>'CS-FG'!D36</f>
        <v>21000</v>
      </c>
      <c r="E62" s="25">
        <f>'CS-FG'!E36</f>
        <v>22050</v>
      </c>
      <c r="F62" s="25">
        <f>'CS-FG'!F36</f>
        <v>23150</v>
      </c>
      <c r="G62" s="25">
        <f>'CS-FG'!G36</f>
        <v>24310</v>
      </c>
      <c r="H62" s="25">
        <f>'CS-FG'!H36</f>
        <v>25530</v>
      </c>
      <c r="I62" s="25">
        <f>'CS-FG'!I36</f>
        <v>26810</v>
      </c>
      <c r="J62" s="25">
        <f>'CS-FG'!J36</f>
        <v>28150</v>
      </c>
      <c r="K62" s="25">
        <f>'CS-FG'!K36</f>
        <v>29560</v>
      </c>
      <c r="L62" s="25">
        <f>'CS-FG'!L36</f>
        <v>31040</v>
      </c>
    </row>
    <row r="63" spans="1:12" hidden="1" x14ac:dyDescent="0.25">
      <c r="A63" s="134" t="s">
        <v>327</v>
      </c>
      <c r="B63" s="1" t="str">
        <f>'CS-FG'!B37</f>
        <v>Bhusa</v>
      </c>
      <c r="C63" s="25">
        <f>'CS-FG'!C37</f>
        <v>0</v>
      </c>
      <c r="D63" s="25">
        <f>'CS-FG'!D37</f>
        <v>0</v>
      </c>
      <c r="E63" s="25">
        <f>'CS-FG'!E37</f>
        <v>0</v>
      </c>
      <c r="F63" s="25">
        <f>'CS-FG'!F37</f>
        <v>0</v>
      </c>
      <c r="G63" s="25">
        <f>'CS-FG'!G37</f>
        <v>0</v>
      </c>
      <c r="H63" s="25">
        <f>'CS-FG'!H37</f>
        <v>0</v>
      </c>
      <c r="I63" s="25">
        <f>'CS-FG'!I37</f>
        <v>0</v>
      </c>
      <c r="J63" s="25">
        <f>'CS-FG'!J37</f>
        <v>0</v>
      </c>
      <c r="K63" s="25">
        <f>'CS-FG'!K37</f>
        <v>0</v>
      </c>
      <c r="L63" s="25">
        <f>'CS-FG'!L37</f>
        <v>0</v>
      </c>
    </row>
    <row r="64" spans="1:12" hidden="1" x14ac:dyDescent="0.25">
      <c r="A64" s="134" t="s">
        <v>427</v>
      </c>
      <c r="B64" s="1" t="str">
        <f>'CS-FG'!B38</f>
        <v>Powder</v>
      </c>
      <c r="C64" s="25">
        <f>'CS-FG'!C38</f>
        <v>0</v>
      </c>
      <c r="D64" s="25">
        <f>'CS-FG'!D38</f>
        <v>0</v>
      </c>
      <c r="E64" s="25">
        <f>'CS-FG'!E38</f>
        <v>0</v>
      </c>
      <c r="F64" s="25">
        <f>'CS-FG'!F38</f>
        <v>0</v>
      </c>
      <c r="G64" s="25">
        <f>'CS-FG'!G38</f>
        <v>0</v>
      </c>
      <c r="H64" s="25">
        <f>'CS-FG'!H38</f>
        <v>0</v>
      </c>
      <c r="I64" s="25">
        <f>'CS-FG'!I38</f>
        <v>0</v>
      </c>
      <c r="J64" s="25">
        <f>'CS-FG'!J38</f>
        <v>0</v>
      </c>
      <c r="K64" s="25">
        <f>'CS-FG'!K38</f>
        <v>0</v>
      </c>
      <c r="L64" s="25">
        <f>'CS-FG'!L38</f>
        <v>0</v>
      </c>
    </row>
    <row r="65" spans="1:12" hidden="1" x14ac:dyDescent="0.25">
      <c r="A65" s="134" t="s">
        <v>652</v>
      </c>
      <c r="B65" s="1" t="str">
        <f>'CS-FG'!B39</f>
        <v>Waste</v>
      </c>
      <c r="C65" s="25">
        <f>'CS-FG'!C39</f>
        <v>0</v>
      </c>
      <c r="D65" s="25">
        <f>'CS-FG'!D39</f>
        <v>0</v>
      </c>
      <c r="E65" s="25">
        <f>'CS-FG'!E39</f>
        <v>0</v>
      </c>
      <c r="F65" s="25">
        <f>'CS-FG'!F39</f>
        <v>0</v>
      </c>
      <c r="G65" s="25">
        <f>'CS-FG'!G39</f>
        <v>0</v>
      </c>
      <c r="H65" s="25">
        <f>'CS-FG'!H39</f>
        <v>0</v>
      </c>
      <c r="I65" s="25">
        <f>'CS-FG'!I39</f>
        <v>0</v>
      </c>
      <c r="J65" s="25">
        <f>'CS-FG'!J39</f>
        <v>0</v>
      </c>
      <c r="K65" s="25">
        <f>'CS-FG'!K39</f>
        <v>0</v>
      </c>
      <c r="L65" s="25">
        <f>'CS-FG'!L39</f>
        <v>0</v>
      </c>
    </row>
    <row r="66" spans="1:12" x14ac:dyDescent="0.25">
      <c r="A66" s="134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x14ac:dyDescent="0.25">
      <c r="A67" s="134"/>
      <c r="B67" s="3" t="s">
        <v>656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1:12" x14ac:dyDescent="0.25">
      <c r="A68" s="134" t="s">
        <v>325</v>
      </c>
      <c r="B68" s="1" t="str">
        <f>+'CS-FG'!B93</f>
        <v>Chana Dall</v>
      </c>
      <c r="C68" s="1">
        <f>+'CS-FG'!C93</f>
        <v>80000</v>
      </c>
      <c r="D68" s="1">
        <f>+'CS-FG'!D93</f>
        <v>84000</v>
      </c>
      <c r="E68" s="1">
        <f>+'CS-FG'!E93</f>
        <v>88200</v>
      </c>
      <c r="F68" s="1">
        <f>+'CS-FG'!F93</f>
        <v>92610</v>
      </c>
      <c r="G68" s="1">
        <f>+'CS-FG'!G93</f>
        <v>97240</v>
      </c>
      <c r="H68" s="1">
        <f>+'CS-FG'!H93</f>
        <v>102100</v>
      </c>
      <c r="I68" s="1">
        <f>+'CS-FG'!I93</f>
        <v>107210</v>
      </c>
      <c r="J68" s="1">
        <f>+'CS-FG'!J93</f>
        <v>112570</v>
      </c>
      <c r="K68" s="1">
        <f>+'CS-FG'!K93</f>
        <v>118200</v>
      </c>
      <c r="L68" s="1">
        <f>+'CS-FG'!L93</f>
        <v>124110</v>
      </c>
    </row>
    <row r="69" spans="1:12" x14ac:dyDescent="0.25">
      <c r="A69" s="134" t="s">
        <v>326</v>
      </c>
      <c r="B69" s="1" t="str">
        <f>+'CS-FG'!B94</f>
        <v>Chuni</v>
      </c>
      <c r="C69" s="1">
        <f>+'CS-FG'!C94</f>
        <v>15000</v>
      </c>
      <c r="D69" s="1">
        <f>+'CS-FG'!D94</f>
        <v>15750</v>
      </c>
      <c r="E69" s="1">
        <f>+'CS-FG'!E94</f>
        <v>16540</v>
      </c>
      <c r="F69" s="1">
        <f>+'CS-FG'!F94</f>
        <v>17370</v>
      </c>
      <c r="G69" s="1">
        <f>+'CS-FG'!G94</f>
        <v>18240</v>
      </c>
      <c r="H69" s="1">
        <f>+'CS-FG'!H94</f>
        <v>19150</v>
      </c>
      <c r="I69" s="1">
        <f>+'CS-FG'!I94</f>
        <v>20110</v>
      </c>
      <c r="J69" s="1">
        <f>+'CS-FG'!J94</f>
        <v>21120</v>
      </c>
      <c r="K69" s="1">
        <f>+'CS-FG'!K94</f>
        <v>22180</v>
      </c>
      <c r="L69" s="1">
        <f>+'CS-FG'!L94</f>
        <v>23290</v>
      </c>
    </row>
    <row r="70" spans="1:12" x14ac:dyDescent="0.25">
      <c r="A70" s="134" t="s">
        <v>327</v>
      </c>
      <c r="B70" s="1" t="str">
        <f>+'CS-FG'!B95</f>
        <v>Bhusa</v>
      </c>
      <c r="C70" s="1">
        <f>+'CS-FG'!C95</f>
        <v>15000</v>
      </c>
      <c r="D70" s="1">
        <f>+'CS-FG'!D95</f>
        <v>15750</v>
      </c>
      <c r="E70" s="1">
        <f>+'CS-FG'!E95</f>
        <v>16540</v>
      </c>
      <c r="F70" s="1">
        <f>+'CS-FG'!F95</f>
        <v>17370</v>
      </c>
      <c r="G70" s="1">
        <f>+'CS-FG'!G95</f>
        <v>18240</v>
      </c>
      <c r="H70" s="1">
        <f>+'CS-FG'!H95</f>
        <v>19150</v>
      </c>
      <c r="I70" s="1">
        <f>+'CS-FG'!I95</f>
        <v>20110</v>
      </c>
      <c r="J70" s="1">
        <f>+'CS-FG'!J95</f>
        <v>21120</v>
      </c>
      <c r="K70" s="1">
        <f>+'CS-FG'!K95</f>
        <v>22180</v>
      </c>
      <c r="L70" s="1">
        <f>+'CS-FG'!L95</f>
        <v>23290</v>
      </c>
    </row>
    <row r="71" spans="1:12" x14ac:dyDescent="0.25">
      <c r="A71" s="134" t="s">
        <v>427</v>
      </c>
      <c r="B71" s="1" t="str">
        <f>+'CS-FG'!B96</f>
        <v>Powder</v>
      </c>
      <c r="C71" s="1">
        <f>+'CS-FG'!C96</f>
        <v>15000</v>
      </c>
      <c r="D71" s="1">
        <f>+'CS-FG'!D96</f>
        <v>15750</v>
      </c>
      <c r="E71" s="1">
        <f>+'CS-FG'!E96</f>
        <v>16540</v>
      </c>
      <c r="F71" s="1">
        <f>+'CS-FG'!F96</f>
        <v>17370</v>
      </c>
      <c r="G71" s="1">
        <f>+'CS-FG'!G96</f>
        <v>18240</v>
      </c>
      <c r="H71" s="1">
        <f>+'CS-FG'!H96</f>
        <v>19150</v>
      </c>
      <c r="I71" s="1">
        <f>+'CS-FG'!I96</f>
        <v>20110</v>
      </c>
      <c r="J71" s="1">
        <f>+'CS-FG'!J96</f>
        <v>21120</v>
      </c>
      <c r="K71" s="1">
        <f>+'CS-FG'!K96</f>
        <v>22180</v>
      </c>
      <c r="L71" s="1">
        <f>+'CS-FG'!L96</f>
        <v>23290</v>
      </c>
    </row>
    <row r="72" spans="1:12" hidden="1" x14ac:dyDescent="0.25">
      <c r="A72" s="134" t="s">
        <v>652</v>
      </c>
      <c r="B72" s="1" t="str">
        <f>+'CS-FG'!B97</f>
        <v>Waste</v>
      </c>
      <c r="C72" s="1">
        <f>+'CS-FG'!C97</f>
        <v>0</v>
      </c>
      <c r="D72" s="1">
        <f>+'CS-FG'!D97</f>
        <v>0</v>
      </c>
      <c r="E72" s="1">
        <f>+'CS-FG'!E97</f>
        <v>0</v>
      </c>
      <c r="F72" s="1">
        <f>+'CS-FG'!F97</f>
        <v>0</v>
      </c>
      <c r="G72" s="1">
        <f>+'CS-FG'!G97</f>
        <v>0</v>
      </c>
      <c r="H72" s="1">
        <f>+'CS-FG'!H97</f>
        <v>0</v>
      </c>
      <c r="I72" s="1">
        <f>+'CS-FG'!I97</f>
        <v>0</v>
      </c>
      <c r="J72" s="1">
        <f>+'CS-FG'!J97</f>
        <v>0</v>
      </c>
      <c r="K72" s="1">
        <f>+'CS-FG'!K97</f>
        <v>0</v>
      </c>
      <c r="L72" s="1">
        <f>+'CS-FG'!L97</f>
        <v>0</v>
      </c>
    </row>
    <row r="73" spans="1:12" x14ac:dyDescent="0.25">
      <c r="A73" s="134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hidden="1" x14ac:dyDescent="0.25"/>
    <row r="75" spans="1:12" hidden="1" x14ac:dyDescent="0.25">
      <c r="A75" s="60">
        <v>13</v>
      </c>
      <c r="B75" s="3" t="s">
        <v>380</v>
      </c>
      <c r="C75" s="38">
        <v>0.09</v>
      </c>
    </row>
    <row r="76" spans="1:12" hidden="1" x14ac:dyDescent="0.25"/>
    <row r="77" spans="1:12" hidden="1" x14ac:dyDescent="0.25">
      <c r="A77" s="60">
        <v>14</v>
      </c>
      <c r="B77" s="3" t="s">
        <v>381</v>
      </c>
      <c r="C77" s="1" t="s">
        <v>382</v>
      </c>
    </row>
    <row r="79" spans="1:12" x14ac:dyDescent="0.25">
      <c r="A79" s="60">
        <v>13</v>
      </c>
      <c r="B79" s="3" t="s">
        <v>383</v>
      </c>
      <c r="C79" s="82">
        <v>0.3</v>
      </c>
    </row>
    <row r="81" spans="1:3" x14ac:dyDescent="0.25">
      <c r="A81" s="60">
        <v>14</v>
      </c>
      <c r="B81" s="3" t="s">
        <v>384</v>
      </c>
      <c r="C81" s="1" t="s">
        <v>385</v>
      </c>
    </row>
    <row r="83" spans="1:3" x14ac:dyDescent="0.25">
      <c r="A83" s="60">
        <v>15</v>
      </c>
      <c r="B83" s="3" t="s">
        <v>386</v>
      </c>
      <c r="C83" s="1" t="s">
        <v>385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zoomScale="90" zoomScaleNormal="100" zoomScaleSheetLayoutView="90" workbookViewId="0">
      <selection activeCell="A4" sqref="A4:K13"/>
    </sheetView>
  </sheetViews>
  <sheetFormatPr defaultRowHeight="15" x14ac:dyDescent="0.25"/>
  <cols>
    <col min="1" max="1" width="22.85546875" customWidth="1"/>
  </cols>
  <sheetData>
    <row r="3" spans="1:11" x14ac:dyDescent="0.25">
      <c r="A3" s="360" t="s">
        <v>284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490</v>
      </c>
      <c r="J4" s="17" t="s">
        <v>491</v>
      </c>
      <c r="K4" s="17" t="s">
        <v>492</v>
      </c>
    </row>
    <row r="5" spans="1:11" x14ac:dyDescent="0.25">
      <c r="A5" s="6" t="s">
        <v>285</v>
      </c>
      <c r="B5" s="19">
        <f>'P&amp;L'!B34</f>
        <v>-0.32670907812500682</v>
      </c>
      <c r="C5" s="19">
        <f>'P&amp;L'!C34</f>
        <v>-0.17774165078124693</v>
      </c>
      <c r="D5" s="19">
        <f>'P&amp;L'!D34</f>
        <v>0.26466719988284182</v>
      </c>
      <c r="E5" s="19">
        <f>'P&amp;L'!E34</f>
        <v>0.36678201768948338</v>
      </c>
      <c r="F5" s="19">
        <f>'P&amp;L'!F34</f>
        <v>0.96837992599584943</v>
      </c>
      <c r="G5" s="19">
        <f>'P&amp;L'!G34</f>
        <v>1.5355950066705608</v>
      </c>
      <c r="H5" s="19">
        <f>'P&amp;L'!H34</f>
        <v>2.278138830441593</v>
      </c>
      <c r="I5" s="19">
        <f>'P&amp;L'!I34</f>
        <v>3.1873572907136909</v>
      </c>
      <c r="J5" s="19">
        <f>'P&amp;L'!J34</f>
        <v>4.1091810489994014</v>
      </c>
      <c r="K5" s="19">
        <f>'P&amp;L'!K34</f>
        <v>5.0743298608244016</v>
      </c>
    </row>
    <row r="6" spans="1:11" ht="30" x14ac:dyDescent="0.25">
      <c r="A6" s="10" t="s">
        <v>286</v>
      </c>
      <c r="B6" s="19">
        <f>'P&amp;L'!B32</f>
        <v>1.1164434999999999</v>
      </c>
      <c r="C6" s="19">
        <f>'P&amp;L'!C32</f>
        <v>1.1164434999999999</v>
      </c>
      <c r="D6" s="19">
        <f>'P&amp;L'!D32</f>
        <v>1.1164434999999999</v>
      </c>
      <c r="E6" s="19">
        <f>'P&amp;L'!E32</f>
        <v>1.1164434999999999</v>
      </c>
      <c r="F6" s="19">
        <f>'P&amp;L'!F32</f>
        <v>1.1164434999999999</v>
      </c>
      <c r="G6" s="19">
        <f>'P&amp;L'!G32</f>
        <v>1.1164434999999999</v>
      </c>
      <c r="H6" s="19">
        <f>'P&amp;L'!H32</f>
        <v>1.1164434999999999</v>
      </c>
      <c r="I6" s="19">
        <f>'P&amp;L'!I32</f>
        <v>1.1164434999999999</v>
      </c>
      <c r="J6" s="19">
        <f>'P&amp;L'!J32</f>
        <v>1.1164434999999999</v>
      </c>
      <c r="K6" s="19">
        <f>'P&amp;L'!K32</f>
        <v>1.1164434999999999</v>
      </c>
    </row>
    <row r="7" spans="1:11" ht="30" x14ac:dyDescent="0.25">
      <c r="A7" s="10" t="s">
        <v>287</v>
      </c>
      <c r="B7" s="19">
        <f>Depn!P20</f>
        <v>3.3492500000000005</v>
      </c>
      <c r="C7" s="19">
        <f>Depn!Q20</f>
        <v>2.9882625000000003</v>
      </c>
      <c r="D7" s="19">
        <f>Depn!R20</f>
        <v>2.667283125</v>
      </c>
      <c r="E7" s="19">
        <f>Depn!S20</f>
        <v>2.3817246562500003</v>
      </c>
      <c r="F7" s="19">
        <f>Depn!T20</f>
        <v>2.1275465578125003</v>
      </c>
      <c r="G7" s="19">
        <f>Depn!U20</f>
        <v>1.9011871141406254</v>
      </c>
      <c r="H7" s="19">
        <f>Depn!V20</f>
        <v>1.6995043330195316</v>
      </c>
      <c r="I7" s="19">
        <f>Depn!W20</f>
        <v>1.5197244404666019</v>
      </c>
      <c r="J7" s="19">
        <f>Depn!X20</f>
        <v>1.3593969560566115</v>
      </c>
      <c r="K7" s="19">
        <f>Depn!Y20</f>
        <v>1.21635547614212</v>
      </c>
    </row>
    <row r="8" spans="1:11" x14ac:dyDescent="0.25">
      <c r="A8" s="10" t="s">
        <v>288</v>
      </c>
      <c r="B8" s="19">
        <f>'P&amp;L'!B27</f>
        <v>0.15877500000000003</v>
      </c>
      <c r="C8" s="19">
        <f>'P&amp;L'!C27</f>
        <v>0.15877500000000003</v>
      </c>
      <c r="D8" s="19">
        <f>'P&amp;L'!D27</f>
        <v>0.15877500000000003</v>
      </c>
      <c r="E8" s="19">
        <f>'P&amp;L'!E27</f>
        <v>0.15877500000000003</v>
      </c>
      <c r="F8" s="19">
        <f>'P&amp;L'!F27</f>
        <v>0.15877500000000003</v>
      </c>
      <c r="G8" s="19">
        <f>'P&amp;L'!G27</f>
        <v>0.15877500000000003</v>
      </c>
      <c r="H8" s="19">
        <f>'P&amp;L'!H27</f>
        <v>0.15877500000000003</v>
      </c>
      <c r="I8" s="19">
        <f>'P&amp;L'!I27</f>
        <v>0.15877500000000003</v>
      </c>
      <c r="J8" s="19">
        <f>'P&amp;L'!J27</f>
        <v>0.15877500000000003</v>
      </c>
      <c r="K8" s="19">
        <f>'P&amp;L'!K27</f>
        <v>0.15877500000000003</v>
      </c>
    </row>
    <row r="9" spans="1:11" x14ac:dyDescent="0.25">
      <c r="A9" s="10" t="s">
        <v>289</v>
      </c>
      <c r="B9" s="19">
        <f>B5+B6-B7-B8</f>
        <v>-2.7182905781250075</v>
      </c>
      <c r="C9" s="19">
        <f t="shared" ref="C9:K9" si="0">C5+C6-C7-C8</f>
        <v>-2.2083356507812471</v>
      </c>
      <c r="D9" s="19">
        <f t="shared" si="0"/>
        <v>-1.4449474251171583</v>
      </c>
      <c r="E9" s="19">
        <f t="shared" si="0"/>
        <v>-1.0572741385605171</v>
      </c>
      <c r="F9" s="19">
        <f t="shared" si="0"/>
        <v>-0.20149813181665102</v>
      </c>
      <c r="G9" s="19">
        <f t="shared" si="0"/>
        <v>0.59207639252993538</v>
      </c>
      <c r="H9" s="19">
        <f t="shared" si="0"/>
        <v>1.5363029974220612</v>
      </c>
      <c r="I9" s="19">
        <f t="shared" si="0"/>
        <v>2.625301350247089</v>
      </c>
      <c r="J9" s="19">
        <f t="shared" si="0"/>
        <v>3.7074525929427899</v>
      </c>
      <c r="K9" s="19">
        <f t="shared" si="0"/>
        <v>4.8156428846822816</v>
      </c>
    </row>
    <row r="10" spans="1:11" x14ac:dyDescent="0.25">
      <c r="A10" s="10" t="s">
        <v>625</v>
      </c>
      <c r="B10" s="19">
        <v>0</v>
      </c>
      <c r="C10" s="19">
        <f>+B11</f>
        <v>-2.7182905781250075</v>
      </c>
      <c r="D10" s="19">
        <f t="shared" ref="D10:K10" si="1">+C11</f>
        <v>-4.9266262289062546</v>
      </c>
      <c r="E10" s="19">
        <f t="shared" si="1"/>
        <v>-6.3715736540234129</v>
      </c>
      <c r="F10" s="19">
        <f t="shared" si="1"/>
        <v>-7.4288477925839302</v>
      </c>
      <c r="G10" s="19">
        <f t="shared" si="1"/>
        <v>-7.6303459244005811</v>
      </c>
      <c r="H10" s="19">
        <f t="shared" si="1"/>
        <v>-7.0382695318706459</v>
      </c>
      <c r="I10" s="19">
        <f t="shared" si="1"/>
        <v>-5.5019665344485844</v>
      </c>
      <c r="J10" s="19">
        <f t="shared" si="1"/>
        <v>-2.8766651842014954</v>
      </c>
      <c r="K10" s="19">
        <f t="shared" si="1"/>
        <v>0</v>
      </c>
    </row>
    <row r="11" spans="1:11" x14ac:dyDescent="0.25">
      <c r="A11" s="10" t="s">
        <v>626</v>
      </c>
      <c r="B11" s="19">
        <f>+IF((B9+B10)&lt;0,B9+B10,0)</f>
        <v>-2.7182905781250075</v>
      </c>
      <c r="C11" s="19">
        <f>+IF((C9+C10)&lt;0,C9+C10,0)</f>
        <v>-4.9266262289062546</v>
      </c>
      <c r="D11" s="19">
        <f t="shared" ref="D11:K11" si="2">+IF((D9+D10)&lt;0,D9+D10,0)</f>
        <v>-6.3715736540234129</v>
      </c>
      <c r="E11" s="19">
        <f t="shared" si="2"/>
        <v>-7.4288477925839302</v>
      </c>
      <c r="F11" s="19">
        <f t="shared" si="2"/>
        <v>-7.6303459244005811</v>
      </c>
      <c r="G11" s="19">
        <f t="shared" si="2"/>
        <v>-7.0382695318706459</v>
      </c>
      <c r="H11" s="19">
        <f t="shared" si="2"/>
        <v>-5.5019665344485844</v>
      </c>
      <c r="I11" s="19">
        <f t="shared" si="2"/>
        <v>-2.8766651842014954</v>
      </c>
      <c r="J11" s="19">
        <f t="shared" si="2"/>
        <v>0</v>
      </c>
      <c r="K11" s="19">
        <f t="shared" si="2"/>
        <v>0</v>
      </c>
    </row>
    <row r="12" spans="1:11" x14ac:dyDescent="0.25">
      <c r="A12" s="10" t="s">
        <v>617</v>
      </c>
      <c r="B12" s="19">
        <f t="shared" ref="B12:K12" si="3">+B9+B10-B11</f>
        <v>0</v>
      </c>
      <c r="C12" s="19">
        <f t="shared" si="3"/>
        <v>0</v>
      </c>
      <c r="D12" s="19">
        <f t="shared" si="3"/>
        <v>0</v>
      </c>
      <c r="E12" s="19">
        <f t="shared" si="3"/>
        <v>0</v>
      </c>
      <c r="F12" s="19">
        <f t="shared" si="3"/>
        <v>0</v>
      </c>
      <c r="G12" s="19">
        <f t="shared" si="3"/>
        <v>0</v>
      </c>
      <c r="H12" s="19">
        <f t="shared" si="3"/>
        <v>0</v>
      </c>
      <c r="I12" s="19">
        <f t="shared" si="3"/>
        <v>0</v>
      </c>
      <c r="J12" s="19">
        <f t="shared" si="3"/>
        <v>0.83078740874129453</v>
      </c>
      <c r="K12" s="19">
        <f t="shared" si="3"/>
        <v>4.8156428846822816</v>
      </c>
    </row>
    <row r="13" spans="1:11" x14ac:dyDescent="0.25">
      <c r="A13" s="83" t="s">
        <v>598</v>
      </c>
      <c r="B13" s="22">
        <f>B12*0.3</f>
        <v>0</v>
      </c>
      <c r="C13" s="22">
        <f>C12*0.3</f>
        <v>0</v>
      </c>
      <c r="D13" s="22">
        <f t="shared" ref="D13:K13" si="4">D12*0.3</f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0.24923622262238834</v>
      </c>
      <c r="K13" s="22">
        <f t="shared" si="4"/>
        <v>1.4446928654046844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zoomScale="60" zoomScaleNormal="100" workbookViewId="0">
      <selection activeCell="A4" sqref="A4:L50"/>
    </sheetView>
  </sheetViews>
  <sheetFormatPr defaultRowHeight="15" x14ac:dyDescent="0.25"/>
  <cols>
    <col min="1" max="1" width="29.7109375" style="84" bestFit="1" customWidth="1"/>
    <col min="2" max="3" width="11.28515625" style="84" bestFit="1" customWidth="1"/>
    <col min="4" max="7" width="11.85546875" style="84" bestFit="1" customWidth="1"/>
    <col min="8" max="8" width="11.28515625" style="84" bestFit="1" customWidth="1"/>
    <col min="9" max="10" width="11.85546875" style="84" bestFit="1" customWidth="1"/>
    <col min="11" max="11" width="11.28515625" style="84" bestFit="1" customWidth="1"/>
    <col min="12" max="12" width="11.85546875" style="84" bestFit="1" customWidth="1"/>
    <col min="13" max="16384" width="9.140625" style="84"/>
  </cols>
  <sheetData>
    <row r="1" spans="1:12" x14ac:dyDescent="0.25">
      <c r="A1" s="362"/>
      <c r="B1" s="362"/>
      <c r="C1" s="362"/>
      <c r="D1" s="362"/>
      <c r="E1" s="362"/>
      <c r="F1" s="362"/>
      <c r="G1" s="362"/>
    </row>
    <row r="2" spans="1:12" x14ac:dyDescent="0.25">
      <c r="A2" s="362" t="s">
        <v>290</v>
      </c>
      <c r="B2" s="362"/>
      <c r="C2" s="362"/>
      <c r="D2" s="362"/>
      <c r="E2" s="362"/>
      <c r="F2" s="362"/>
      <c r="G2" s="362"/>
      <c r="H2" s="362"/>
      <c r="I2" s="362"/>
    </row>
    <row r="4" spans="1:12" s="86" customFormat="1" x14ac:dyDescent="0.25">
      <c r="A4" s="222" t="s">
        <v>1</v>
      </c>
      <c r="B4" s="222" t="s">
        <v>441</v>
      </c>
      <c r="C4" s="222" t="s">
        <v>36</v>
      </c>
      <c r="D4" s="222" t="s">
        <v>37</v>
      </c>
      <c r="E4" s="222" t="s">
        <v>38</v>
      </c>
      <c r="F4" s="222" t="s">
        <v>39</v>
      </c>
      <c r="G4" s="222" t="s">
        <v>40</v>
      </c>
      <c r="H4" s="222" t="s">
        <v>41</v>
      </c>
      <c r="I4" s="222" t="s">
        <v>42</v>
      </c>
      <c r="J4" s="222" t="s">
        <v>490</v>
      </c>
      <c r="K4" s="222" t="s">
        <v>491</v>
      </c>
      <c r="L4" s="222" t="s">
        <v>492</v>
      </c>
    </row>
    <row r="5" spans="1:12" x14ac:dyDescent="0.25">
      <c r="A5" s="85" t="s">
        <v>291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292</v>
      </c>
      <c r="B7" s="180">
        <f>'Project Glance'!B19</f>
        <v>15.284565104166671</v>
      </c>
      <c r="C7" s="88">
        <f>'Project Glance'!B19</f>
        <v>15.284565104166671</v>
      </c>
      <c r="D7" s="88">
        <f>C7</f>
        <v>15.284565104166671</v>
      </c>
      <c r="E7" s="88">
        <f t="shared" ref="E7:I7" si="0">D7</f>
        <v>15.284565104166671</v>
      </c>
      <c r="F7" s="88">
        <f t="shared" si="0"/>
        <v>15.284565104166671</v>
      </c>
      <c r="G7" s="88">
        <f t="shared" si="0"/>
        <v>15.284565104166671</v>
      </c>
      <c r="H7" s="88">
        <f t="shared" si="0"/>
        <v>15.284565104166671</v>
      </c>
      <c r="I7" s="88">
        <f t="shared" si="0"/>
        <v>15.284565104166671</v>
      </c>
      <c r="J7" s="88">
        <f t="shared" ref="J7" si="1">I7</f>
        <v>15.284565104166671</v>
      </c>
      <c r="K7" s="88">
        <f t="shared" ref="K7" si="2">J7</f>
        <v>15.284565104166671</v>
      </c>
      <c r="L7" s="88">
        <f t="shared" ref="L7" si="3">K7</f>
        <v>15.284565104166671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293</v>
      </c>
      <c r="B9" s="89">
        <f t="shared" ref="B9:I9" si="4">SUM(B7:B8)</f>
        <v>15.284565104166671</v>
      </c>
      <c r="C9" s="89">
        <f t="shared" si="4"/>
        <v>15.284565104166671</v>
      </c>
      <c r="D9" s="89">
        <f t="shared" si="4"/>
        <v>15.284565104166671</v>
      </c>
      <c r="E9" s="89">
        <f t="shared" si="4"/>
        <v>15.284565104166671</v>
      </c>
      <c r="F9" s="89">
        <f t="shared" si="4"/>
        <v>15.284565104166671</v>
      </c>
      <c r="G9" s="89">
        <f t="shared" si="4"/>
        <v>15.284565104166671</v>
      </c>
      <c r="H9" s="89">
        <f t="shared" si="4"/>
        <v>15.284565104166671</v>
      </c>
      <c r="I9" s="89">
        <f t="shared" si="4"/>
        <v>15.284565104166671</v>
      </c>
      <c r="J9" s="89">
        <f t="shared" ref="J9:L9" si="5">SUM(J7:J8)</f>
        <v>15.284565104166671</v>
      </c>
      <c r="K9" s="89">
        <f t="shared" si="5"/>
        <v>15.284565104166671</v>
      </c>
      <c r="L9" s="89">
        <f t="shared" si="5"/>
        <v>15.284565104166671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294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320</v>
      </c>
      <c r="B13" s="180">
        <f>'Project Glance'!B20</f>
        <v>20.005649999999999</v>
      </c>
      <c r="C13" s="88">
        <f>B13</f>
        <v>20.005649999999999</v>
      </c>
      <c r="D13" s="88">
        <f t="shared" ref="D13:I13" si="6">C13</f>
        <v>20.005649999999999</v>
      </c>
      <c r="E13" s="88">
        <f t="shared" si="6"/>
        <v>20.005649999999999</v>
      </c>
      <c r="F13" s="88">
        <f t="shared" si="6"/>
        <v>20.005649999999999</v>
      </c>
      <c r="G13" s="88">
        <f t="shared" si="6"/>
        <v>20.005649999999999</v>
      </c>
      <c r="H13" s="88">
        <f t="shared" si="6"/>
        <v>20.005649999999999</v>
      </c>
      <c r="I13" s="88">
        <f t="shared" si="6"/>
        <v>20.005649999999999</v>
      </c>
      <c r="J13" s="88">
        <f t="shared" ref="J13" si="7">I13</f>
        <v>20.005649999999999</v>
      </c>
      <c r="K13" s="88">
        <f t="shared" ref="K13" si="8">J13</f>
        <v>20.005649999999999</v>
      </c>
      <c r="L13" s="88">
        <f t="shared" ref="L13" si="9">K13</f>
        <v>20.005649999999999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295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296</v>
      </c>
      <c r="B16" s="88">
        <v>0</v>
      </c>
      <c r="C16" s="88">
        <v>0</v>
      </c>
      <c r="D16" s="88">
        <f>C19</f>
        <v>-0.32670907812500682</v>
      </c>
      <c r="E16" s="88">
        <f>D19</f>
        <v>-0.50445072890625375</v>
      </c>
      <c r="F16" s="88">
        <f>E19</f>
        <v>-0.23978352902341193</v>
      </c>
      <c r="G16" s="88">
        <f>F19</f>
        <v>0.12699848866607144</v>
      </c>
      <c r="H16" s="88">
        <f t="shared" ref="H16:I16" si="10">G19</f>
        <v>1.095378414661921</v>
      </c>
      <c r="I16" s="88">
        <f t="shared" si="10"/>
        <v>2.6309734213324818</v>
      </c>
      <c r="J16" s="88">
        <f t="shared" ref="J16" si="11">I19</f>
        <v>4.9091122517740748</v>
      </c>
      <c r="K16" s="88">
        <f t="shared" ref="K16" si="12">J19</f>
        <v>8.0964695424877657</v>
      </c>
      <c r="L16" s="88">
        <f t="shared" ref="L16" si="13">K19</f>
        <v>11.956414368864779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297</v>
      </c>
      <c r="B18" s="88">
        <v>0</v>
      </c>
      <c r="C18" s="88">
        <f>'P&amp;L'!B36</f>
        <v>-0.32670907812500682</v>
      </c>
      <c r="D18" s="88">
        <f>'P&amp;L'!C36</f>
        <v>-0.17774165078124693</v>
      </c>
      <c r="E18" s="88">
        <f>'P&amp;L'!D36</f>
        <v>0.26466719988284182</v>
      </c>
      <c r="F18" s="88">
        <f>'P&amp;L'!E36</f>
        <v>0.36678201768948338</v>
      </c>
      <c r="G18" s="88">
        <f>'P&amp;L'!F36</f>
        <v>0.96837992599584943</v>
      </c>
      <c r="H18" s="88">
        <f>'P&amp;L'!G36</f>
        <v>1.5355950066705608</v>
      </c>
      <c r="I18" s="88">
        <f>'P&amp;L'!H36</f>
        <v>2.278138830441593</v>
      </c>
      <c r="J18" s="88">
        <f>'P&amp;L'!I36</f>
        <v>3.1873572907136909</v>
      </c>
      <c r="K18" s="88">
        <f>'P&amp;L'!J36</f>
        <v>3.8599448263770131</v>
      </c>
      <c r="L18" s="88">
        <f>'P&amp;L'!K36</f>
        <v>3.629636995419717</v>
      </c>
    </row>
    <row r="19" spans="1:92" x14ac:dyDescent="0.25">
      <c r="A19" s="77" t="s">
        <v>298</v>
      </c>
      <c r="B19" s="88">
        <f t="shared" ref="B19:G19" si="14">B16+B18</f>
        <v>0</v>
      </c>
      <c r="C19" s="88">
        <f t="shared" si="14"/>
        <v>-0.32670907812500682</v>
      </c>
      <c r="D19" s="88">
        <f t="shared" si="14"/>
        <v>-0.50445072890625375</v>
      </c>
      <c r="E19" s="88">
        <f t="shared" si="14"/>
        <v>-0.23978352902341193</v>
      </c>
      <c r="F19" s="88">
        <f t="shared" si="14"/>
        <v>0.12699848866607144</v>
      </c>
      <c r="G19" s="88">
        <f t="shared" si="14"/>
        <v>1.095378414661921</v>
      </c>
      <c r="H19" s="88">
        <f t="shared" ref="H19:I19" si="15">H16+H18</f>
        <v>2.6309734213324818</v>
      </c>
      <c r="I19" s="88">
        <f t="shared" si="15"/>
        <v>4.9091122517740748</v>
      </c>
      <c r="J19" s="88">
        <f t="shared" ref="J19:L19" si="16">J16+J18</f>
        <v>8.0964695424877657</v>
      </c>
      <c r="K19" s="88">
        <f t="shared" si="16"/>
        <v>11.956414368864779</v>
      </c>
      <c r="L19" s="88">
        <f t="shared" si="16"/>
        <v>15.586051364284497</v>
      </c>
    </row>
    <row r="20" spans="1:92" x14ac:dyDescent="0.25">
      <c r="A20" s="77" t="s">
        <v>299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300</v>
      </c>
      <c r="B21" s="88">
        <v>0</v>
      </c>
      <c r="C21" s="88">
        <f>'WC Assessment'!C15</f>
        <v>5.8423953125000008</v>
      </c>
      <c r="D21" s="88">
        <f>'WC Assessment'!D15</f>
        <v>6.6666044531250002</v>
      </c>
      <c r="E21" s="88">
        <f>'WC Assessment'!E15</f>
        <v>7.5044554179687513</v>
      </c>
      <c r="F21" s="88">
        <f>'WC Assessment'!F15</f>
        <v>8.6053111576171872</v>
      </c>
      <c r="G21" s="88">
        <f>'WC Assessment'!G15</f>
        <v>9.9285794108105492</v>
      </c>
      <c r="H21" s="88">
        <f>'WC Assessment'!H15</f>
        <v>10.965839943851075</v>
      </c>
      <c r="I21" s="88">
        <f>'WC Assessment'!I15</f>
        <v>12.175735847293632</v>
      </c>
      <c r="J21" s="88">
        <f>'WC Assessment'!J15</f>
        <v>12.883738264658302</v>
      </c>
      <c r="K21" s="88">
        <f>'WC Assessment'!K15</f>
        <v>13.571703302891226</v>
      </c>
      <c r="L21" s="88">
        <f>'WC Assessment'!L15</f>
        <v>14.29391253053579</v>
      </c>
    </row>
    <row r="22" spans="1:92" x14ac:dyDescent="0.25">
      <c r="A22" s="77" t="s">
        <v>301</v>
      </c>
      <c r="B22" s="88">
        <v>0</v>
      </c>
      <c r="C22" s="88">
        <f>('P&amp;L'!B16+'P&amp;L'!B23+'P&amp;L'!B25)/12</f>
        <v>9.7809104166666661</v>
      </c>
      <c r="D22" s="88">
        <f>('P&amp;L'!C16+'P&amp;L'!C23+'P&amp;L'!C25)/12</f>
        <v>9.9411284374999997</v>
      </c>
      <c r="E22" s="88">
        <f>('P&amp;L'!D16+'P&amp;L'!D23+'P&amp;L'!D25)/12</f>
        <v>11.158942776041668</v>
      </c>
      <c r="F22" s="88">
        <f>('P&amp;L'!E16+'P&amp;L'!E23+'P&amp;L'!E25)/12</f>
        <v>12.356875748177083</v>
      </c>
      <c r="G22" s="88">
        <f>('P&amp;L'!F16+'P&amp;L'!F23+'P&amp;L'!F25)/12</f>
        <v>13.745169118919272</v>
      </c>
      <c r="H22" s="88">
        <f>('P&amp;L'!G16+'P&amp;L'!G23+'P&amp;L'!G25)/12</f>
        <v>15.233613408198567</v>
      </c>
      <c r="I22" s="88">
        <f>('P&amp;L'!H16+'P&amp;L'!H23+'P&amp;L'!H25)/12</f>
        <v>16.85233553694183</v>
      </c>
      <c r="J22" s="88">
        <f>('P&amp;L'!I16+'P&amp;L'!I23+'P&amp;L'!I25)/12</f>
        <v>17.537057313788925</v>
      </c>
      <c r="K22" s="88">
        <f>('P&amp;L'!J16+'P&amp;L'!J23+'P&amp;L'!J25)/12</f>
        <v>18.329253929478366</v>
      </c>
      <c r="L22" s="88">
        <f>('P&amp;L'!K16+'P&amp;L'!K23+'P&amp;L'!K25)/12</f>
        <v>19.161266625952287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302</v>
      </c>
      <c r="B24" s="89">
        <f>SUM(B19:B22)+B9+B13</f>
        <v>35.29021510416667</v>
      </c>
      <c r="C24" s="89">
        <f>SUM(C19:C22)+C9+C13</f>
        <v>50.586811755208331</v>
      </c>
      <c r="D24" s="89">
        <f t="shared" ref="D24:L24" si="17">SUM(D19:D22)+D9+D13</f>
        <v>51.393497265885415</v>
      </c>
      <c r="E24" s="89">
        <f t="shared" si="17"/>
        <v>53.713829769153676</v>
      </c>
      <c r="F24" s="89">
        <f t="shared" si="17"/>
        <v>56.379400498627021</v>
      </c>
      <c r="G24" s="89">
        <f t="shared" si="17"/>
        <v>60.05934204855842</v>
      </c>
      <c r="H24" s="89">
        <f t="shared" si="17"/>
        <v>64.120641877548792</v>
      </c>
      <c r="I24" s="89">
        <f t="shared" si="17"/>
        <v>69.227398740176213</v>
      </c>
      <c r="J24" s="89">
        <f t="shared" si="17"/>
        <v>73.807480225101671</v>
      </c>
      <c r="K24" s="89">
        <f t="shared" si="17"/>
        <v>79.147586705401054</v>
      </c>
      <c r="L24" s="89">
        <f t="shared" si="17"/>
        <v>84.331445624939249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303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304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305</v>
      </c>
      <c r="B28" s="185">
        <f>'Project Glance'!B6+'Project Glance'!B7+'Project Glance'!B8+'Project Glance'!B9+'Project Glance'!B11</f>
        <v>31.755000000000003</v>
      </c>
      <c r="C28" s="88">
        <f>Depn!C19</f>
        <v>31.755000000000003</v>
      </c>
      <c r="D28" s="88">
        <f>Depn!D19</f>
        <v>30.6385565</v>
      </c>
      <c r="E28" s="88">
        <f>Depn!E19</f>
        <v>29.522113000000001</v>
      </c>
      <c r="F28" s="88">
        <f>Depn!F19</f>
        <v>28.405669500000002</v>
      </c>
      <c r="G28" s="88">
        <f>Depn!G19</f>
        <v>27.289226000000003</v>
      </c>
      <c r="H28" s="88">
        <f>Depn!H19</f>
        <v>26.1727825</v>
      </c>
      <c r="I28" s="88">
        <f>Depn!I19</f>
        <v>25.056339000000001</v>
      </c>
      <c r="J28" s="88">
        <f>Depn!J19</f>
        <v>23.939895500000002</v>
      </c>
      <c r="K28" s="88">
        <f>Depn!K19</f>
        <v>22.823452000000003</v>
      </c>
      <c r="L28" s="88">
        <f>Depn!L19</f>
        <v>21.707008500000001</v>
      </c>
    </row>
    <row r="29" spans="1:92" x14ac:dyDescent="0.25">
      <c r="A29" s="76" t="s">
        <v>445</v>
      </c>
      <c r="B29" s="186">
        <v>0</v>
      </c>
      <c r="C29" s="88">
        <f>Depn!C20</f>
        <v>1.1164434999999999</v>
      </c>
      <c r="D29" s="88">
        <f>Depn!D20</f>
        <v>1.1164434999999999</v>
      </c>
      <c r="E29" s="88">
        <f>Depn!E20</f>
        <v>1.1164434999999999</v>
      </c>
      <c r="F29" s="88">
        <f>Depn!F20</f>
        <v>1.1164434999999999</v>
      </c>
      <c r="G29" s="88">
        <f>Depn!G20</f>
        <v>1.1164434999999999</v>
      </c>
      <c r="H29" s="88">
        <f>Depn!H20</f>
        <v>1.1164434999999999</v>
      </c>
      <c r="I29" s="88">
        <f>Depn!I20</f>
        <v>1.1164434999999999</v>
      </c>
      <c r="J29" s="88">
        <f>Depn!J20</f>
        <v>1.1164434999999999</v>
      </c>
      <c r="K29" s="88">
        <f>Depn!K20</f>
        <v>1.1164434999999999</v>
      </c>
      <c r="L29" s="88">
        <f>Depn!L20</f>
        <v>1.1164434999999999</v>
      </c>
    </row>
    <row r="30" spans="1:92" x14ac:dyDescent="0.25">
      <c r="A30" s="87" t="s">
        <v>306</v>
      </c>
      <c r="B30" s="186">
        <f>B28-B29</f>
        <v>31.755000000000003</v>
      </c>
      <c r="C30" s="88">
        <f>Depn!C21</f>
        <v>30.6385565</v>
      </c>
      <c r="D30" s="88">
        <f>Depn!D21</f>
        <v>29.522113000000001</v>
      </c>
      <c r="E30" s="88">
        <f>Depn!E21</f>
        <v>28.405669500000002</v>
      </c>
      <c r="F30" s="88">
        <f>Depn!F21</f>
        <v>27.289226000000003</v>
      </c>
      <c r="G30" s="88">
        <f>Depn!G21</f>
        <v>26.1727825</v>
      </c>
      <c r="H30" s="88">
        <f>Depn!H21</f>
        <v>25.056339000000001</v>
      </c>
      <c r="I30" s="88">
        <f>Depn!I21</f>
        <v>23.939895500000002</v>
      </c>
      <c r="J30" s="88">
        <f>Depn!J21</f>
        <v>22.823452000000003</v>
      </c>
      <c r="K30" s="88">
        <f>Depn!K21</f>
        <v>21.707008500000001</v>
      </c>
      <c r="L30" s="88">
        <f>Depn!L21</f>
        <v>20.590565000000002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307</v>
      </c>
      <c r="B32" s="185">
        <f>'Project Glance'!B10</f>
        <v>1.5877500000000002</v>
      </c>
      <c r="C32" s="88">
        <f>B32-'P&amp;L'!B27</f>
        <v>1.4289750000000001</v>
      </c>
      <c r="D32" s="88">
        <f>C32-'P&amp;L'!C27</f>
        <v>1.2702</v>
      </c>
      <c r="E32" s="88">
        <f>D32-'P&amp;L'!D27</f>
        <v>1.1114249999999999</v>
      </c>
      <c r="F32" s="88">
        <f>E32-'P&amp;L'!E27</f>
        <v>0.95264999999999989</v>
      </c>
      <c r="G32" s="88">
        <f>F32-'P&amp;L'!F27</f>
        <v>0.79387499999999989</v>
      </c>
      <c r="H32" s="88">
        <f>G32-'P&amp;L'!G27</f>
        <v>0.63509999999999989</v>
      </c>
      <c r="I32" s="88">
        <f>H32-'P&amp;L'!H27</f>
        <v>0.47632499999999989</v>
      </c>
      <c r="J32" s="88">
        <f>I32-'P&amp;L'!I27</f>
        <v>0.31754999999999989</v>
      </c>
      <c r="K32" s="88">
        <f>J32-'P&amp;L'!J27</f>
        <v>0.15877499999999986</v>
      </c>
      <c r="L32" s="88">
        <f>K32-'P&amp;L'!K27</f>
        <v>0</v>
      </c>
    </row>
    <row r="33" spans="1:12" x14ac:dyDescent="0.25">
      <c r="A33" s="87" t="s">
        <v>21</v>
      </c>
      <c r="B33" s="185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308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309</v>
      </c>
      <c r="B36" s="88">
        <v>0</v>
      </c>
      <c r="C36" s="88">
        <f>'P&amp;L'!B9/12</f>
        <v>9.2067708333333336</v>
      </c>
      <c r="D36" s="88">
        <f>'P&amp;L'!C9/12</f>
        <v>10.047734374999999</v>
      </c>
      <c r="E36" s="88">
        <f>'P&amp;L'!D9/12</f>
        <v>11.249083333333333</v>
      </c>
      <c r="F36" s="88">
        <f>'P&amp;L'!E9/12</f>
        <v>12.434923958333334</v>
      </c>
      <c r="G36" s="88">
        <f>'P&amp;L'!F9/12</f>
        <v>13.862875000000003</v>
      </c>
      <c r="H36" s="88">
        <f>'P&amp;L'!G9/12</f>
        <v>15.442433333333332</v>
      </c>
      <c r="I36" s="88">
        <f>'P&amp;L'!H9/12</f>
        <v>17.109350000000003</v>
      </c>
      <c r="J36" s="88">
        <f>'P&amp;L'!I9/12</f>
        <v>17.938974999999999</v>
      </c>
      <c r="K36" s="88">
        <f>'P&amp;L'!J9/12</f>
        <v>18.809858333333334</v>
      </c>
      <c r="L36" s="88">
        <f>'P&amp;L'!K9/12</f>
        <v>19.724216666666667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81</v>
      </c>
      <c r="B39" s="184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310</v>
      </c>
      <c r="B40" s="88">
        <v>0</v>
      </c>
      <c r="C40" s="88">
        <f>'CS-FG'!C123</f>
        <v>4.3499999999999996</v>
      </c>
      <c r="D40" s="88">
        <f>'CS-FG'!D123</f>
        <v>4.5674999999999999</v>
      </c>
      <c r="E40" s="88">
        <f>'CS-FG'!E123</f>
        <v>4.7957999999999998</v>
      </c>
      <c r="F40" s="88">
        <f>'CS-FG'!F123</f>
        <v>6.0196999999999994</v>
      </c>
      <c r="G40" s="88">
        <f>'CS-FG'!G123</f>
        <v>7.4754999999999994</v>
      </c>
      <c r="H40" s="88">
        <f>'CS-FG'!H123</f>
        <v>7.8493999999999993</v>
      </c>
      <c r="I40" s="88">
        <f>'CS-FG'!I123</f>
        <v>8.2419000000000011</v>
      </c>
      <c r="J40" s="88">
        <f>'CS-FG'!J123</f>
        <v>8.6541999999999994</v>
      </c>
      <c r="K40" s="88">
        <f>'CS-FG'!K123</f>
        <v>9.0869999999999997</v>
      </c>
      <c r="L40" s="88">
        <f>'CS-FG'!L123</f>
        <v>9.5414000000000012</v>
      </c>
    </row>
    <row r="41" spans="1:12" x14ac:dyDescent="0.25">
      <c r="A41" s="77" t="s">
        <v>311</v>
      </c>
      <c r="B41" s="88">
        <v>0</v>
      </c>
      <c r="C41" s="88">
        <f>'CS-RM'!B31</f>
        <v>4.0140000000000002</v>
      </c>
      <c r="D41" s="88">
        <f>'CS-RM'!C31</f>
        <v>4.2146999999999997</v>
      </c>
      <c r="E41" s="88">
        <f>'CS-RM'!D31</f>
        <v>5.12</v>
      </c>
      <c r="F41" s="88">
        <f>'CS-RM'!E31</f>
        <v>5.3760000000000003</v>
      </c>
      <c r="G41" s="88">
        <f>'CS-RM'!F31</f>
        <v>5.6448999999999998</v>
      </c>
      <c r="H41" s="88">
        <f>'CS-RM'!G31</f>
        <v>6.5629000000000008</v>
      </c>
      <c r="I41" s="88">
        <f>'CS-RM'!H31</f>
        <v>7.7354000000000003</v>
      </c>
      <c r="J41" s="88">
        <f>'CS-RM'!I31</f>
        <v>8.1221999999999994</v>
      </c>
      <c r="K41" s="88">
        <f>'CS-RM'!J31</f>
        <v>8.5280000000000005</v>
      </c>
      <c r="L41" s="88">
        <f>'CS-RM'!K31</f>
        <v>8.9542000000000002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8.3640000000000008</v>
      </c>
      <c r="D43" s="88">
        <f>SUM(D40:D41)</f>
        <v>8.7821999999999996</v>
      </c>
      <c r="E43" s="88">
        <f>SUM(E40:E41)</f>
        <v>9.9158000000000008</v>
      </c>
      <c r="F43" s="88">
        <f>SUM(F40:F41)</f>
        <v>11.3957</v>
      </c>
      <c r="G43" s="88">
        <f>SUM(G40:G41)</f>
        <v>13.1204</v>
      </c>
      <c r="H43" s="88">
        <f t="shared" ref="H43:L43" si="22">SUM(H40:H41)</f>
        <v>14.4123</v>
      </c>
      <c r="I43" s="88">
        <f t="shared" si="22"/>
        <v>15.977300000000001</v>
      </c>
      <c r="J43" s="88">
        <f t="shared" si="22"/>
        <v>16.776399999999999</v>
      </c>
      <c r="K43" s="88">
        <f t="shared" si="22"/>
        <v>17.615000000000002</v>
      </c>
      <c r="L43" s="88">
        <f t="shared" si="22"/>
        <v>18.495600000000003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452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312</v>
      </c>
      <c r="B47" s="88">
        <f>CF!C35</f>
        <v>1.9474651041666675</v>
      </c>
      <c r="C47" s="88">
        <f>CF!D35</f>
        <v>0.94850942187500209</v>
      </c>
      <c r="D47" s="88">
        <f>CF!E35</f>
        <v>1.7712498908854286</v>
      </c>
      <c r="E47" s="88">
        <f>CF!F35</f>
        <v>3.0318519358202991</v>
      </c>
      <c r="F47" s="88">
        <f>CF!G35</f>
        <v>4.3069005402936114</v>
      </c>
      <c r="G47" s="88">
        <f>CF!H35</f>
        <v>6.1094095485583466</v>
      </c>
      <c r="H47" s="88">
        <f>CF!I35</f>
        <v>8.5744695442154182</v>
      </c>
      <c r="I47" s="88">
        <f>CF!J35</f>
        <v>11.72452824017617</v>
      </c>
      <c r="J47" s="88">
        <f>CF!K35</f>
        <v>15.951103225101633</v>
      </c>
      <c r="K47" s="88">
        <f>CF!L35</f>
        <v>20.856944872067714</v>
      </c>
      <c r="L47" s="88">
        <f>CF!M35</f>
        <v>25.521063958272549</v>
      </c>
    </row>
    <row r="48" spans="1:12" x14ac:dyDescent="0.25">
      <c r="A48" s="77" t="s">
        <v>313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314</v>
      </c>
      <c r="B50" s="89">
        <f>SUM(B30:B47)</f>
        <v>35.29021510416667</v>
      </c>
      <c r="C50" s="89">
        <f>SUM(C30:C41)+C47</f>
        <v>50.586811755208345</v>
      </c>
      <c r="D50" s="89">
        <f t="shared" ref="D50:L50" si="23">SUM(D30:D41)+D47</f>
        <v>51.393497265885429</v>
      </c>
      <c r="E50" s="89">
        <f t="shared" si="23"/>
        <v>53.713829769153634</v>
      </c>
      <c r="F50" s="89">
        <f t="shared" si="23"/>
        <v>56.379400498626943</v>
      </c>
      <c r="G50" s="89">
        <f t="shared" si="23"/>
        <v>60.059342048558342</v>
      </c>
      <c r="H50" s="89">
        <f t="shared" si="23"/>
        <v>64.120641877548749</v>
      </c>
      <c r="I50" s="89">
        <f t="shared" si="23"/>
        <v>69.22739874017617</v>
      </c>
      <c r="J50" s="89">
        <f t="shared" si="23"/>
        <v>73.807480225101642</v>
      </c>
      <c r="K50" s="89">
        <f t="shared" si="23"/>
        <v>79.147586705401039</v>
      </c>
      <c r="L50" s="89">
        <f t="shared" si="23"/>
        <v>84.331445624939221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-7.815970093361102E-14</v>
      </c>
      <c r="G52" s="98">
        <f t="shared" si="24"/>
        <v>-7.815970093361102E-14</v>
      </c>
      <c r="H52" s="98">
        <f t="shared" ref="H52:L52" si="25">H50-H24</f>
        <v>0</v>
      </c>
      <c r="I52" s="98">
        <f t="shared" si="25"/>
        <v>0</v>
      </c>
      <c r="J52" s="98">
        <f t="shared" si="25"/>
        <v>0</v>
      </c>
      <c r="K52" s="98">
        <f t="shared" si="25"/>
        <v>0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60" zoomScaleNormal="100" workbookViewId="0">
      <selection activeCell="M35" sqref="A3:M35"/>
    </sheetView>
  </sheetViews>
  <sheetFormatPr defaultRowHeight="15" x14ac:dyDescent="0.25"/>
  <cols>
    <col min="1" max="1" width="5.42578125" style="104" bestFit="1" customWidth="1"/>
    <col min="2" max="2" width="38.42578125" style="104" customWidth="1"/>
    <col min="3" max="3" width="10.85546875" style="104" bestFit="1" customWidth="1"/>
    <col min="4" max="13" width="11.28515625" style="104" bestFit="1" customWidth="1"/>
    <col min="14" max="16384" width="9.140625" style="104"/>
  </cols>
  <sheetData>
    <row r="1" spans="1:13" x14ac:dyDescent="0.25">
      <c r="A1" s="363" t="s">
        <v>315</v>
      </c>
      <c r="B1" s="364"/>
      <c r="C1" s="364"/>
      <c r="D1" s="364"/>
      <c r="E1" s="364"/>
      <c r="F1" s="364"/>
      <c r="G1" s="364"/>
      <c r="H1" s="364"/>
      <c r="I1" s="364"/>
      <c r="J1" s="364"/>
    </row>
    <row r="3" spans="1:13" x14ac:dyDescent="0.25">
      <c r="A3" s="118" t="s">
        <v>622</v>
      </c>
      <c r="B3" s="118" t="s">
        <v>1</v>
      </c>
      <c r="C3" s="118" t="s">
        <v>441</v>
      </c>
      <c r="D3" s="118" t="s">
        <v>36</v>
      </c>
      <c r="E3" s="118" t="s">
        <v>37</v>
      </c>
      <c r="F3" s="118" t="s">
        <v>38</v>
      </c>
      <c r="G3" s="118" t="s">
        <v>39</v>
      </c>
      <c r="H3" s="118" t="s">
        <v>40</v>
      </c>
      <c r="I3" s="118" t="s">
        <v>41</v>
      </c>
      <c r="J3" s="118" t="s">
        <v>42</v>
      </c>
      <c r="K3" s="118" t="s">
        <v>490</v>
      </c>
      <c r="L3" s="118" t="s">
        <v>491</v>
      </c>
      <c r="M3" s="118" t="s">
        <v>492</v>
      </c>
    </row>
    <row r="4" spans="1:13" x14ac:dyDescent="0.25">
      <c r="A4" s="105">
        <v>1</v>
      </c>
      <c r="B4" s="105" t="s">
        <v>316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317</v>
      </c>
      <c r="C5" s="113">
        <v>0</v>
      </c>
      <c r="D5" s="107">
        <f>'P&amp;L'!B9</f>
        <v>110.48125</v>
      </c>
      <c r="E5" s="107">
        <f>'P&amp;L'!C9</f>
        <v>120.5728125</v>
      </c>
      <c r="F5" s="107">
        <f>'P&amp;L'!D9</f>
        <v>134.989</v>
      </c>
      <c r="G5" s="107">
        <f>'P&amp;L'!E9</f>
        <v>149.2190875</v>
      </c>
      <c r="H5" s="107">
        <f>'P&amp;L'!F9</f>
        <v>166.35450000000003</v>
      </c>
      <c r="I5" s="107">
        <f>'P&amp;L'!G9</f>
        <v>185.30919999999998</v>
      </c>
      <c r="J5" s="107">
        <f>'P&amp;L'!H9</f>
        <v>205.31220000000002</v>
      </c>
      <c r="K5" s="107">
        <f>'P&amp;L'!I9</f>
        <v>215.26769999999999</v>
      </c>
      <c r="L5" s="107">
        <f>'P&amp;L'!J9</f>
        <v>225.71830000000003</v>
      </c>
      <c r="M5" s="107">
        <f>'P&amp;L'!K9</f>
        <v>236.69060000000002</v>
      </c>
    </row>
    <row r="6" spans="1:13" x14ac:dyDescent="0.25">
      <c r="A6" s="105">
        <v>2</v>
      </c>
      <c r="B6" s="105" t="s">
        <v>318</v>
      </c>
      <c r="C6" s="181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292</v>
      </c>
      <c r="C7" s="181">
        <f>BS!B7</f>
        <v>15.284565104166671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319</v>
      </c>
      <c r="C8" s="105"/>
      <c r="D8" s="108">
        <f>BS!C21</f>
        <v>5.8423953125000008</v>
      </c>
      <c r="E8" s="108">
        <f>BS!D21-BS!C21</f>
        <v>0.82420914062499939</v>
      </c>
      <c r="F8" s="108">
        <f>BS!E21-BS!D21</f>
        <v>0.8378509648437511</v>
      </c>
      <c r="G8" s="108">
        <f>BS!F21-BS!E21</f>
        <v>1.100855739648436</v>
      </c>
      <c r="H8" s="108">
        <f>BS!G21-BS!F21</f>
        <v>1.3232682531933619</v>
      </c>
      <c r="I8" s="108">
        <f>BS!H21-BS!G21</f>
        <v>1.0372605330405253</v>
      </c>
      <c r="J8" s="108">
        <f>BS!I21-BS!H21</f>
        <v>1.2098959034425576</v>
      </c>
      <c r="K8" s="108">
        <f>BS!J21-BS!I21</f>
        <v>0.70800241736466951</v>
      </c>
      <c r="L8" s="108">
        <f>BS!K21-BS!J21</f>
        <v>0.68796503823292454</v>
      </c>
      <c r="M8" s="108">
        <f>BS!L21-BS!K21</f>
        <v>0.72220922764456397</v>
      </c>
    </row>
    <row r="9" spans="1:13" x14ac:dyDescent="0.25">
      <c r="A9" s="105">
        <v>5</v>
      </c>
      <c r="B9" s="105" t="s">
        <v>320</v>
      </c>
      <c r="C9" s="181">
        <f>BS!B13</f>
        <v>20.005649999999999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x14ac:dyDescent="0.25">
      <c r="A10" s="105">
        <v>6</v>
      </c>
      <c r="B10" s="105" t="s">
        <v>321</v>
      </c>
      <c r="C10" s="105"/>
      <c r="D10" s="108">
        <f>BS!C22</f>
        <v>9.7809104166666661</v>
      </c>
      <c r="E10" s="108">
        <f>BS!D22-BS!C22</f>
        <v>0.1602180208333337</v>
      </c>
      <c r="F10" s="108">
        <f>BS!E22-BS!D22</f>
        <v>1.2178143385416682</v>
      </c>
      <c r="G10" s="108">
        <f>BS!F22-BS!E22</f>
        <v>1.1979329721354155</v>
      </c>
      <c r="H10" s="108">
        <f>BS!G22-BS!F22</f>
        <v>1.3882933707421881</v>
      </c>
      <c r="I10" s="108">
        <f>BS!H22-BS!G22</f>
        <v>1.4884442892792951</v>
      </c>
      <c r="J10" s="108">
        <f>BS!I22-BS!H22</f>
        <v>1.6187221287432632</v>
      </c>
      <c r="K10" s="108">
        <f>BS!J22-BS!I22</f>
        <v>0.68472177684709479</v>
      </c>
      <c r="L10" s="108">
        <f>BS!K22-BS!J22</f>
        <v>0.79219661568944133</v>
      </c>
      <c r="M10" s="108">
        <f>BS!L22-BS!K22</f>
        <v>0.83201269647392095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322</v>
      </c>
      <c r="C12" s="109">
        <f>SUM(C5:C11)</f>
        <v>35.29021510416667</v>
      </c>
      <c r="D12" s="109">
        <f>SUM(D5:D11)</f>
        <v>126.10455572916668</v>
      </c>
      <c r="E12" s="109">
        <f t="shared" ref="E12:M12" si="0">SUM(E5:E11)</f>
        <v>121.55723966145834</v>
      </c>
      <c r="F12" s="109">
        <f t="shared" si="0"/>
        <v>137.04466530338541</v>
      </c>
      <c r="G12" s="109">
        <f t="shared" si="0"/>
        <v>151.51787621178386</v>
      </c>
      <c r="H12" s="109">
        <f t="shared" si="0"/>
        <v>169.06606162393558</v>
      </c>
      <c r="I12" s="109">
        <f t="shared" si="0"/>
        <v>187.8349048223198</v>
      </c>
      <c r="J12" s="109">
        <f t="shared" si="0"/>
        <v>208.14081803218582</v>
      </c>
      <c r="K12" s="109">
        <f t="shared" si="0"/>
        <v>216.66042419421174</v>
      </c>
      <c r="L12" s="109">
        <f t="shared" si="0"/>
        <v>227.19846165392241</v>
      </c>
      <c r="M12" s="109">
        <f t="shared" si="0"/>
        <v>238.2448219241185</v>
      </c>
    </row>
    <row r="13" spans="1:13" x14ac:dyDescent="0.25">
      <c r="A13" s="365" t="s">
        <v>323</v>
      </c>
      <c r="B13" s="365"/>
      <c r="C13" s="110"/>
      <c r="D13" s="111"/>
      <c r="E13" s="111"/>
      <c r="F13" s="111"/>
      <c r="G13" s="111"/>
      <c r="H13" s="111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324</v>
      </c>
      <c r="C14" s="105"/>
      <c r="D14" s="111"/>
      <c r="E14" s="111"/>
      <c r="F14" s="111"/>
      <c r="G14" s="111"/>
      <c r="H14" s="111"/>
      <c r="I14" s="36"/>
      <c r="J14" s="36"/>
      <c r="K14" s="36"/>
      <c r="L14" s="36"/>
      <c r="M14" s="36"/>
    </row>
    <row r="15" spans="1:13" x14ac:dyDescent="0.25">
      <c r="A15" s="112" t="s">
        <v>325</v>
      </c>
      <c r="B15" s="111" t="s">
        <v>426</v>
      </c>
      <c r="C15" s="182">
        <f>'Project Glance'!B6+'Project Glance'!B7+'Project Glance'!B8+'Project Glance'!B9</f>
        <v>31.755000000000003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2" t="s">
        <v>326</v>
      </c>
      <c r="B16" s="111" t="s">
        <v>328</v>
      </c>
      <c r="C16" s="182">
        <f>'Project Glance'!B10</f>
        <v>1.5877500000000002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2" t="s">
        <v>327</v>
      </c>
      <c r="B17" s="111" t="s">
        <v>21</v>
      </c>
      <c r="C17" s="182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2" t="s">
        <v>427</v>
      </c>
      <c r="B18" s="111" t="s">
        <v>428</v>
      </c>
      <c r="C18" s="182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2"/>
      <c r="B19" s="111"/>
      <c r="C19" s="111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x14ac:dyDescent="0.25">
      <c r="A20" s="105">
        <v>2</v>
      </c>
      <c r="B20" s="105" t="s">
        <v>329</v>
      </c>
      <c r="C20" s="105"/>
      <c r="D20" s="111"/>
      <c r="E20" s="111"/>
      <c r="F20" s="111"/>
      <c r="G20" s="111"/>
      <c r="H20" s="111"/>
      <c r="I20" s="36"/>
      <c r="J20" s="36"/>
      <c r="K20" s="36"/>
      <c r="L20" s="36"/>
      <c r="M20" s="36"/>
    </row>
    <row r="21" spans="1:13" x14ac:dyDescent="0.25">
      <c r="A21" s="112" t="s">
        <v>325</v>
      </c>
      <c r="B21" s="111" t="s">
        <v>330</v>
      </c>
      <c r="C21" s="111"/>
      <c r="D21" s="108">
        <f>'P&amp;L'!B23</f>
        <v>5.4423250000000003</v>
      </c>
      <c r="E21" s="108">
        <f>'P&amp;L'!C23</f>
        <v>5.7094412500000011</v>
      </c>
      <c r="F21" s="108">
        <f>'P&amp;L'!D23</f>
        <v>5.9899133125000006</v>
      </c>
      <c r="G21" s="108">
        <f>'P&amp;L'!E23</f>
        <v>6.2844089781250005</v>
      </c>
      <c r="H21" s="108">
        <f>'P&amp;L'!F23</f>
        <v>6.5936294270312512</v>
      </c>
      <c r="I21" s="108">
        <f>'P&amp;L'!G23</f>
        <v>6.9183108983828134</v>
      </c>
      <c r="J21" s="108">
        <f>'P&amp;L'!H23</f>
        <v>7.2592264433019551</v>
      </c>
      <c r="K21" s="108">
        <f>'P&amp;L'!I23</f>
        <v>7.6171877654670528</v>
      </c>
      <c r="L21" s="108">
        <f>'P&amp;L'!J23</f>
        <v>7.993047153740406</v>
      </c>
      <c r="M21" s="108">
        <f>'P&amp;L'!K23</f>
        <v>8.3876995114274262</v>
      </c>
    </row>
    <row r="22" spans="1:13" x14ac:dyDescent="0.25">
      <c r="A22" s="112" t="s">
        <v>326</v>
      </c>
      <c r="B22" s="111" t="s">
        <v>331</v>
      </c>
      <c r="C22" s="111"/>
      <c r="D22" s="107">
        <f>'P&amp;L'!B25</f>
        <v>10.669599999999999</v>
      </c>
      <c r="E22" s="107">
        <f>'P&amp;L'!C25</f>
        <v>11.476849999999999</v>
      </c>
      <c r="F22" s="107">
        <f>'P&amp;L'!D25</f>
        <v>12.678000000000001</v>
      </c>
      <c r="G22" s="107">
        <f>'P&amp;L'!E25</f>
        <v>14.026349999999999</v>
      </c>
      <c r="H22" s="107">
        <f>'P&amp;L'!F25</f>
        <v>15.891500000000001</v>
      </c>
      <c r="I22" s="107">
        <f>'P&amp;L'!G25</f>
        <v>17.98085</v>
      </c>
      <c r="J22" s="107">
        <f>'P&amp;L'!H25</f>
        <v>20.077999999999999</v>
      </c>
      <c r="K22" s="107">
        <f>'P&amp;L'!I25</f>
        <v>20.077999999999999</v>
      </c>
      <c r="L22" s="107">
        <f>'P&amp;L'!J25</f>
        <v>20.077999999999999</v>
      </c>
      <c r="M22" s="107">
        <f>'P&amp;L'!K25</f>
        <v>20.077999999999999</v>
      </c>
    </row>
    <row r="23" spans="1:13" x14ac:dyDescent="0.25">
      <c r="A23" s="112" t="s">
        <v>327</v>
      </c>
      <c r="B23" s="111" t="s">
        <v>342</v>
      </c>
      <c r="C23" s="111"/>
      <c r="D23" s="107">
        <f>'P&amp;L'!B16</f>
        <v>101.259</v>
      </c>
      <c r="E23" s="107">
        <f>'P&amp;L'!C16</f>
        <v>102.10724999999999</v>
      </c>
      <c r="F23" s="107">
        <f>'P&amp;L'!D16</f>
        <v>115.2394</v>
      </c>
      <c r="G23" s="107">
        <f>'P&amp;L'!E16</f>
        <v>127.97175</v>
      </c>
      <c r="H23" s="107">
        <f>'P&amp;L'!F16</f>
        <v>142.45689999999999</v>
      </c>
      <c r="I23" s="107">
        <f>'P&amp;L'!G16</f>
        <v>157.9042</v>
      </c>
      <c r="J23" s="107">
        <f>'P&amp;L'!H16</f>
        <v>174.89080000000001</v>
      </c>
      <c r="K23" s="107">
        <f>'P&amp;L'!I16</f>
        <v>182.74950000000001</v>
      </c>
      <c r="L23" s="107">
        <f>'P&amp;L'!J16</f>
        <v>191.88</v>
      </c>
      <c r="M23" s="107">
        <f>'P&amp;L'!K16</f>
        <v>201.46950000000001</v>
      </c>
    </row>
    <row r="24" spans="1:13" hidden="1" x14ac:dyDescent="0.25">
      <c r="A24" s="112" t="s">
        <v>427</v>
      </c>
      <c r="B24" s="111" t="s">
        <v>452</v>
      </c>
      <c r="C24" s="111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332</v>
      </c>
      <c r="C25" s="105"/>
      <c r="D25" s="183">
        <f>BS!B20-BS!C20</f>
        <v>0</v>
      </c>
      <c r="E25" s="183">
        <f>BS!C20-BS!D20</f>
        <v>0</v>
      </c>
      <c r="F25" s="183">
        <f>BS!D20-BS!E20</f>
        <v>0</v>
      </c>
      <c r="G25" s="183">
        <f>BS!E20-BS!F20</f>
        <v>0</v>
      </c>
      <c r="H25" s="183">
        <f>BS!F20-BS!G20</f>
        <v>0</v>
      </c>
      <c r="I25" s="183">
        <f>BS!G20-BS!H20</f>
        <v>0</v>
      </c>
      <c r="J25" s="183">
        <f>BS!H20-BS!I20</f>
        <v>0</v>
      </c>
      <c r="K25" s="183">
        <f>BS!I20-BS!J20</f>
        <v>0</v>
      </c>
      <c r="L25" s="183">
        <f>BS!J20-BS!K20</f>
        <v>0</v>
      </c>
      <c r="M25" s="183">
        <f>BS!K20-BS!L20</f>
        <v>0</v>
      </c>
    </row>
    <row r="26" spans="1:13" x14ac:dyDescent="0.25">
      <c r="A26" s="112" t="s">
        <v>325</v>
      </c>
      <c r="B26" s="111" t="s">
        <v>333</v>
      </c>
      <c r="C26" s="111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2" t="s">
        <v>326</v>
      </c>
      <c r="B27" s="111" t="s">
        <v>334</v>
      </c>
      <c r="C27" s="111"/>
      <c r="D27" s="108">
        <f>'P&amp;L'!B31</f>
        <v>0.52581557812500002</v>
      </c>
      <c r="E27" s="108">
        <f>'P&amp;L'!C31</f>
        <v>0.59999440078124999</v>
      </c>
      <c r="F27" s="108">
        <f>'P&amp;L'!D31</f>
        <v>0.67540098761718759</v>
      </c>
      <c r="G27" s="108">
        <f>'P&amp;L'!E31</f>
        <v>0.7744780041855468</v>
      </c>
      <c r="H27" s="108">
        <f>'P&amp;L'!F31</f>
        <v>0.8935721469729494</v>
      </c>
      <c r="I27" s="108">
        <f>'P&amp;L'!G31</f>
        <v>0.98692559494659671</v>
      </c>
      <c r="J27" s="108">
        <f>'P&amp;L'!H31</f>
        <v>1.0958162262564268</v>
      </c>
      <c r="K27" s="108">
        <f>'P&amp;L'!I31</f>
        <v>1.159536443819247</v>
      </c>
      <c r="L27" s="108">
        <f>'P&amp;L'!J31</f>
        <v>1.2214532972602103</v>
      </c>
      <c r="M27" s="108">
        <f>'P&amp;L'!K31</f>
        <v>1.286452127748221</v>
      </c>
    </row>
    <row r="28" spans="1:13" x14ac:dyDescent="0.25">
      <c r="A28" s="105">
        <v>4</v>
      </c>
      <c r="B28" s="105" t="s">
        <v>335</v>
      </c>
      <c r="C28" s="105"/>
      <c r="D28" s="108">
        <f>BS!C36</f>
        <v>9.2067708333333336</v>
      </c>
      <c r="E28" s="108">
        <f>BS!D36-BS!C36</f>
        <v>0.84096354166666565</v>
      </c>
      <c r="F28" s="108">
        <f>BS!E36-BS!D36</f>
        <v>1.2013489583333339</v>
      </c>
      <c r="G28" s="108">
        <f>BS!F36-BS!E36</f>
        <v>1.1858406250000009</v>
      </c>
      <c r="H28" s="108">
        <f>BS!G36-BS!F36</f>
        <v>1.4279510416666685</v>
      </c>
      <c r="I28" s="108">
        <f>BS!H36-BS!G36</f>
        <v>1.5795583333333294</v>
      </c>
      <c r="J28" s="108">
        <f>BS!I36-BS!H36</f>
        <v>1.6669166666666708</v>
      </c>
      <c r="K28" s="108">
        <f>BS!J36-BS!I36</f>
        <v>0.8296249999999965</v>
      </c>
      <c r="L28" s="108">
        <f>BS!K36-BS!J36</f>
        <v>0.87088333333333523</v>
      </c>
      <c r="M28" s="108">
        <f>BS!L36-BS!K36</f>
        <v>0.9143583333333325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336</v>
      </c>
      <c r="C30" s="105"/>
      <c r="D30" s="108">
        <f>'P&amp;L'!B35</f>
        <v>0</v>
      </c>
      <c r="E30" s="108">
        <f>'P&amp;L'!C35</f>
        <v>0</v>
      </c>
      <c r="F30" s="108">
        <f>'P&amp;L'!D35</f>
        <v>0</v>
      </c>
      <c r="G30" s="108">
        <f>'P&amp;L'!E35</f>
        <v>0</v>
      </c>
      <c r="H30" s="108">
        <f>'P&amp;L'!F35</f>
        <v>0</v>
      </c>
      <c r="I30" s="108">
        <f>'P&amp;L'!G35</f>
        <v>0</v>
      </c>
      <c r="J30" s="108">
        <f>'P&amp;L'!H35</f>
        <v>0</v>
      </c>
      <c r="K30" s="108">
        <f>'P&amp;L'!I35</f>
        <v>0</v>
      </c>
      <c r="L30" s="108">
        <f>'P&amp;L'!J35</f>
        <v>0.24923622262238834</v>
      </c>
      <c r="M30" s="108">
        <f>'P&amp;L'!K35</f>
        <v>1.4446928654046844</v>
      </c>
    </row>
    <row r="31" spans="1:13" x14ac:dyDescent="0.25">
      <c r="A31" s="105">
        <v>6</v>
      </c>
      <c r="B31" s="105" t="s">
        <v>337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338</v>
      </c>
      <c r="C32" s="113">
        <f>SUM(C15:C31)</f>
        <v>33.342750000000002</v>
      </c>
      <c r="D32" s="113">
        <f>SUM(D15:D31)</f>
        <v>127.10351141145834</v>
      </c>
      <c r="E32" s="113">
        <f t="shared" ref="E32:J32" si="1">SUM(E15:E31)</f>
        <v>120.73449919244791</v>
      </c>
      <c r="F32" s="113">
        <f t="shared" si="1"/>
        <v>135.78406325845054</v>
      </c>
      <c r="G32" s="113">
        <f t="shared" si="1"/>
        <v>150.24282760731055</v>
      </c>
      <c r="H32" s="113">
        <f t="shared" si="1"/>
        <v>167.26355261567085</v>
      </c>
      <c r="I32" s="113">
        <f t="shared" si="1"/>
        <v>185.36984482666273</v>
      </c>
      <c r="J32" s="113">
        <f t="shared" si="1"/>
        <v>204.99075933622507</v>
      </c>
      <c r="K32" s="113">
        <f t="shared" ref="K32:M32" si="2">SUM(K15:K31)</f>
        <v>212.43384920928628</v>
      </c>
      <c r="L32" s="113">
        <f t="shared" si="2"/>
        <v>222.29262000695633</v>
      </c>
      <c r="M32" s="113">
        <f t="shared" si="2"/>
        <v>233.58070283791366</v>
      </c>
    </row>
    <row r="33" spans="1:13" x14ac:dyDescent="0.25">
      <c r="A33" s="105"/>
      <c r="B33" s="105" t="s">
        <v>339</v>
      </c>
      <c r="C33" s="113">
        <f t="shared" ref="C33:J33" si="3">C12-C32</f>
        <v>1.9474651041666675</v>
      </c>
      <c r="D33" s="113">
        <f t="shared" si="3"/>
        <v>-0.99895568229166543</v>
      </c>
      <c r="E33" s="113">
        <f t="shared" si="3"/>
        <v>0.82274046901042652</v>
      </c>
      <c r="F33" s="113">
        <f t="shared" si="3"/>
        <v>1.2606020449348705</v>
      </c>
      <c r="G33" s="113">
        <f t="shared" si="3"/>
        <v>1.2750486044733123</v>
      </c>
      <c r="H33" s="113">
        <f t="shared" si="3"/>
        <v>1.8025090082647353</v>
      </c>
      <c r="I33" s="113">
        <f t="shared" si="3"/>
        <v>2.4650599956570716</v>
      </c>
      <c r="J33" s="113">
        <f t="shared" si="3"/>
        <v>3.1500586959607517</v>
      </c>
      <c r="K33" s="113">
        <f t="shared" ref="K33:M33" si="4">K12-K32</f>
        <v>4.2265749849254632</v>
      </c>
      <c r="L33" s="113">
        <f t="shared" si="4"/>
        <v>4.9058416469660813</v>
      </c>
      <c r="M33" s="113">
        <f t="shared" si="4"/>
        <v>4.6641190862048347</v>
      </c>
    </row>
    <row r="34" spans="1:13" x14ac:dyDescent="0.25">
      <c r="A34" s="114"/>
      <c r="B34" s="111" t="s">
        <v>340</v>
      </c>
      <c r="C34" s="111"/>
      <c r="D34" s="108">
        <f>C35</f>
        <v>1.9474651041666675</v>
      </c>
      <c r="E34" s="108">
        <f>D35</f>
        <v>0.94850942187500209</v>
      </c>
      <c r="F34" s="108">
        <f t="shared" ref="F34:J34" si="5">E35</f>
        <v>1.7712498908854286</v>
      </c>
      <c r="G34" s="108">
        <f t="shared" si="5"/>
        <v>3.0318519358202991</v>
      </c>
      <c r="H34" s="108">
        <f t="shared" si="5"/>
        <v>4.3069005402936114</v>
      </c>
      <c r="I34" s="108">
        <f t="shared" si="5"/>
        <v>6.1094095485583466</v>
      </c>
      <c r="J34" s="108">
        <f t="shared" si="5"/>
        <v>8.5744695442154182</v>
      </c>
      <c r="K34" s="108">
        <f t="shared" ref="K34" si="6">J35</f>
        <v>11.72452824017617</v>
      </c>
      <c r="L34" s="108">
        <f t="shared" ref="L34" si="7">K35</f>
        <v>15.951103225101633</v>
      </c>
      <c r="M34" s="108">
        <f t="shared" ref="M34" si="8">L35</f>
        <v>20.856944872067714</v>
      </c>
    </row>
    <row r="35" spans="1:13" x14ac:dyDescent="0.25">
      <c r="A35" s="105"/>
      <c r="B35" s="115" t="s">
        <v>341</v>
      </c>
      <c r="C35" s="113">
        <f>C33+C34</f>
        <v>1.9474651041666675</v>
      </c>
      <c r="D35" s="113">
        <f>D33+D34</f>
        <v>0.94850942187500209</v>
      </c>
      <c r="E35" s="113">
        <f t="shared" ref="E35:J35" si="9">E33+E34</f>
        <v>1.7712498908854286</v>
      </c>
      <c r="F35" s="113">
        <f t="shared" si="9"/>
        <v>3.0318519358202991</v>
      </c>
      <c r="G35" s="113">
        <f t="shared" si="9"/>
        <v>4.3069005402936114</v>
      </c>
      <c r="H35" s="113">
        <f t="shared" si="9"/>
        <v>6.1094095485583466</v>
      </c>
      <c r="I35" s="113">
        <f t="shared" si="9"/>
        <v>8.5744695442154182</v>
      </c>
      <c r="J35" s="113">
        <f t="shared" si="9"/>
        <v>11.72452824017617</v>
      </c>
      <c r="K35" s="113">
        <f t="shared" ref="K35:M35" si="10">K33+K34</f>
        <v>15.951103225101633</v>
      </c>
      <c r="L35" s="113">
        <f t="shared" si="10"/>
        <v>20.856944872067714</v>
      </c>
      <c r="M35" s="113">
        <f t="shared" si="10"/>
        <v>25.521063958272549</v>
      </c>
    </row>
    <row r="37" spans="1:13" x14ac:dyDescent="0.25">
      <c r="C37" s="116">
        <f>BS!B47</f>
        <v>1.9474651041666675</v>
      </c>
      <c r="D37" s="116">
        <f>BS!C47</f>
        <v>0.94850942187500209</v>
      </c>
      <c r="E37" s="116">
        <f>BS!D47</f>
        <v>1.7712498908854286</v>
      </c>
      <c r="F37" s="116">
        <f>BS!E47</f>
        <v>3.0318519358202991</v>
      </c>
      <c r="G37" s="116">
        <f>BS!F47</f>
        <v>4.3069005402936114</v>
      </c>
      <c r="H37" s="116">
        <f>BS!G47</f>
        <v>6.1094095485583466</v>
      </c>
      <c r="I37" s="116">
        <f>BS!H47</f>
        <v>8.5744695442154182</v>
      </c>
      <c r="J37" s="116">
        <f>BS!I47</f>
        <v>11.72452824017617</v>
      </c>
      <c r="K37" s="116">
        <f>BS!J47</f>
        <v>15.951103225101633</v>
      </c>
      <c r="L37" s="116">
        <f>BS!K47</f>
        <v>20.856944872067714</v>
      </c>
      <c r="M37" s="116">
        <f>BS!L47</f>
        <v>25.521063958272549</v>
      </c>
    </row>
    <row r="38" spans="1:13" x14ac:dyDescent="0.25">
      <c r="D38" s="116"/>
    </row>
    <row r="39" spans="1:13" x14ac:dyDescent="0.25">
      <c r="C39" s="116">
        <f>C35-C37</f>
        <v>0</v>
      </c>
      <c r="D39" s="116">
        <f>D35-D37</f>
        <v>0</v>
      </c>
      <c r="E39" s="116">
        <f t="shared" ref="E39:J39" si="11">E35-E37</f>
        <v>0</v>
      </c>
      <c r="F39" s="116">
        <f t="shared" si="11"/>
        <v>0</v>
      </c>
      <c r="G39" s="116">
        <f t="shared" si="11"/>
        <v>0</v>
      </c>
      <c r="H39" s="116">
        <f t="shared" si="11"/>
        <v>0</v>
      </c>
      <c r="I39" s="116">
        <f t="shared" si="11"/>
        <v>0</v>
      </c>
      <c r="J39" s="116">
        <f t="shared" si="11"/>
        <v>0</v>
      </c>
      <c r="K39" s="116">
        <f t="shared" ref="K39:M39" si="12">K35-K37</f>
        <v>0</v>
      </c>
      <c r="L39" s="116">
        <f t="shared" si="12"/>
        <v>0</v>
      </c>
      <c r="M39" s="116">
        <f t="shared" si="12"/>
        <v>0</v>
      </c>
    </row>
    <row r="40" spans="1:13" x14ac:dyDescent="0.25">
      <c r="D40" s="117"/>
      <c r="E40" s="116"/>
      <c r="F40" s="116"/>
      <c r="G40" s="116"/>
      <c r="H40" s="116"/>
      <c r="I40" s="116"/>
      <c r="J40" s="116"/>
    </row>
    <row r="41" spans="1:13" x14ac:dyDescent="0.25">
      <c r="D41" s="116"/>
      <c r="E41" s="116"/>
      <c r="F41" s="116"/>
      <c r="G41" s="116"/>
      <c r="H41" s="116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441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442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443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444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66"/>
      <c r="C1" s="366"/>
      <c r="D1" s="366"/>
      <c r="E1" s="366"/>
      <c r="F1" s="366"/>
      <c r="G1" s="366"/>
      <c r="H1" s="81"/>
      <c r="I1" s="81"/>
    </row>
    <row r="2" spans="1:9" ht="15.75" thickBot="1" x14ac:dyDescent="0.3"/>
    <row r="3" spans="1:9" ht="15.75" thickBot="1" x14ac:dyDescent="0.3">
      <c r="B3" s="367" t="s">
        <v>185</v>
      </c>
      <c r="C3" s="368"/>
      <c r="D3" s="368"/>
      <c r="E3" s="368"/>
      <c r="F3" s="368"/>
      <c r="G3" s="369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186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187</v>
      </c>
    </row>
    <row r="7" spans="1:9" x14ac:dyDescent="0.25">
      <c r="B7" s="15" t="s">
        <v>188</v>
      </c>
      <c r="C7" s="103" t="s">
        <v>45</v>
      </c>
      <c r="D7" s="103" t="s">
        <v>189</v>
      </c>
      <c r="E7" s="103" t="s">
        <v>190</v>
      </c>
      <c r="F7" s="103" t="s">
        <v>191</v>
      </c>
      <c r="G7" s="103" t="s">
        <v>192</v>
      </c>
    </row>
    <row r="8" spans="1:9" x14ac:dyDescent="0.25">
      <c r="A8" s="1" t="s">
        <v>193</v>
      </c>
      <c r="B8" s="6" t="s">
        <v>194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195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196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197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198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199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200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201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202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203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204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205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206</v>
      </c>
      <c r="B20" s="6" t="s">
        <v>207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208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209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210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211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212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213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214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215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216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217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218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219</v>
      </c>
      <c r="B32" s="6" t="s">
        <v>220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221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222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223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224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225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226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227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228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229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230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231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232</v>
      </c>
      <c r="B44" s="6" t="s">
        <v>233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234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235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236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237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238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239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240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241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242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243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244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245</v>
      </c>
      <c r="B56" s="6" t="s">
        <v>246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247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248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249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250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251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252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253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254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255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256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257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258</v>
      </c>
      <c r="B68" s="6" t="s">
        <v>259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260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261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262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263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264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265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266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267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268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269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270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283</v>
      </c>
      <c r="B80" s="6" t="s">
        <v>271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272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273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274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275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276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277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278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279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280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281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282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85" zoomScaleNormal="100" zoomScaleSheetLayoutView="85" workbookViewId="0">
      <selection activeCell="M12" sqref="M12"/>
    </sheetView>
  </sheetViews>
  <sheetFormatPr defaultRowHeight="15" x14ac:dyDescent="0.25"/>
  <cols>
    <col min="1" max="1" width="31" style="1" customWidth="1"/>
    <col min="2" max="16384" width="9.140625" style="1"/>
  </cols>
  <sheetData>
    <row r="2" spans="1:15" x14ac:dyDescent="0.25">
      <c r="A2" s="366" t="s">
        <v>512</v>
      </c>
      <c r="B2" s="366"/>
      <c r="C2" s="366"/>
      <c r="D2" s="366"/>
      <c r="E2" s="366"/>
      <c r="F2" s="366"/>
      <c r="G2" s="366"/>
      <c r="H2" s="366"/>
      <c r="I2" s="223"/>
      <c r="J2" s="223"/>
      <c r="K2" s="223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490</v>
      </c>
      <c r="J4" s="46" t="s">
        <v>491</v>
      </c>
      <c r="K4" s="46" t="s">
        <v>492</v>
      </c>
    </row>
    <row r="5" spans="1:15" x14ac:dyDescent="0.25">
      <c r="A5" s="23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344</v>
      </c>
      <c r="B6" s="19">
        <f>'P&amp;L'!B36</f>
        <v>-0.32670907812500682</v>
      </c>
      <c r="C6" s="19">
        <f>'P&amp;L'!C36</f>
        <v>-0.17774165078124693</v>
      </c>
      <c r="D6" s="19">
        <f>'P&amp;L'!D36</f>
        <v>0.26466719988284182</v>
      </c>
      <c r="E6" s="19">
        <f>'P&amp;L'!E36</f>
        <v>0.36678201768948338</v>
      </c>
      <c r="F6" s="19">
        <f>'P&amp;L'!F36</f>
        <v>0.96837992599584943</v>
      </c>
      <c r="G6" s="19">
        <f>'P&amp;L'!G36</f>
        <v>1.5355950066705608</v>
      </c>
      <c r="H6" s="19">
        <f>'P&amp;L'!H36</f>
        <v>2.278138830441593</v>
      </c>
      <c r="I6" s="19">
        <f>'P&amp;L'!I36</f>
        <v>3.1873572907136909</v>
      </c>
      <c r="J6" s="19">
        <f>'P&amp;L'!J36</f>
        <v>3.8599448263770131</v>
      </c>
      <c r="K6" s="19">
        <f>'P&amp;L'!K36</f>
        <v>3.629636995419717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513</v>
      </c>
      <c r="B8" s="373">
        <f>SUM(B6:K6)/10</f>
        <v>1.5586051364284497</v>
      </c>
      <c r="C8" s="374"/>
      <c r="D8" s="374"/>
      <c r="E8" s="374"/>
      <c r="F8" s="374"/>
      <c r="G8" s="374"/>
      <c r="H8" s="374"/>
      <c r="I8" s="374"/>
      <c r="J8" s="374"/>
      <c r="K8" s="375"/>
    </row>
    <row r="9" spans="1:15" x14ac:dyDescent="0.25">
      <c r="A9" s="6" t="s">
        <v>514</v>
      </c>
      <c r="B9" s="373">
        <f>'Project Glance'!B23</f>
        <v>35.29021510416667</v>
      </c>
      <c r="C9" s="374"/>
      <c r="D9" s="374"/>
      <c r="E9" s="374"/>
      <c r="F9" s="374"/>
      <c r="G9" s="374"/>
      <c r="H9" s="374"/>
      <c r="I9" s="374"/>
      <c r="J9" s="374"/>
      <c r="K9" s="375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4" t="s">
        <v>516</v>
      </c>
      <c r="B11" s="376">
        <f>B8/B9*100</f>
        <v>4.4165362320062114</v>
      </c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517</v>
      </c>
      <c r="B13" s="373">
        <f>'Project Glance'!B23-'Project Glance'!B20</f>
        <v>15.284565104166671</v>
      </c>
      <c r="C13" s="374"/>
      <c r="D13" s="374"/>
      <c r="E13" s="374"/>
      <c r="F13" s="374"/>
      <c r="G13" s="374"/>
      <c r="H13" s="374"/>
      <c r="I13" s="374"/>
      <c r="J13" s="374"/>
      <c r="K13" s="375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4" t="s">
        <v>518</v>
      </c>
      <c r="B15" s="376">
        <f>(B8/B13)*100</f>
        <v>10.197248831133336</v>
      </c>
      <c r="C15" s="377"/>
      <c r="D15" s="377"/>
      <c r="E15" s="377"/>
      <c r="F15" s="377"/>
      <c r="G15" s="377"/>
      <c r="H15" s="377"/>
      <c r="I15" s="377"/>
      <c r="J15" s="377"/>
      <c r="K15" s="378"/>
    </row>
    <row r="16" spans="1:15" hidden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35.29021510416667</v>
      </c>
      <c r="O16" s="13">
        <f>B13</f>
        <v>15.284565104166671</v>
      </c>
    </row>
    <row r="17" spans="1:15" s="3" customFormat="1" x14ac:dyDescent="0.25">
      <c r="A17" s="199" t="s">
        <v>519</v>
      </c>
      <c r="B17" s="370" t="s">
        <v>711</v>
      </c>
      <c r="C17" s="371"/>
      <c r="D17" s="371"/>
      <c r="E17" s="371"/>
      <c r="F17" s="371"/>
      <c r="G17" s="371"/>
      <c r="H17" s="371"/>
      <c r="I17" s="371"/>
      <c r="J17" s="371"/>
      <c r="K17" s="372"/>
      <c r="M17" s="235">
        <f>SUM(B6:G6)</f>
        <v>2.6309734213324818</v>
      </c>
      <c r="O17" s="235">
        <f>SUM(B6:E6)</f>
        <v>0.12699848866607144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32.659241682834185</v>
      </c>
      <c r="O18" s="13">
        <f>O16-O17</f>
        <v>15.157566615500599</v>
      </c>
    </row>
    <row r="19" spans="1:15" x14ac:dyDescent="0.25">
      <c r="A19" s="199" t="s">
        <v>520</v>
      </c>
      <c r="B19" s="370" t="s">
        <v>710</v>
      </c>
      <c r="C19" s="371"/>
      <c r="D19" s="371"/>
      <c r="E19" s="371"/>
      <c r="F19" s="371"/>
      <c r="G19" s="371"/>
      <c r="H19" s="371"/>
      <c r="I19" s="371"/>
      <c r="J19" s="371"/>
      <c r="K19" s="372"/>
      <c r="M19" s="1">
        <f>M18*12/H6</f>
        <v>172.03117516681036</v>
      </c>
      <c r="O19" s="1">
        <f>O18*12/F6</f>
        <v>187.82999781718604</v>
      </c>
    </row>
    <row r="21" spans="1:15" x14ac:dyDescent="0.25">
      <c r="M21" s="1" t="s">
        <v>590</v>
      </c>
      <c r="O21" s="1" t="s">
        <v>589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="85" zoomScaleNormal="100" zoomScaleSheetLayoutView="85" workbookViewId="0">
      <selection activeCell="A4" sqref="A4:K21"/>
    </sheetView>
  </sheetViews>
  <sheetFormatPr defaultRowHeight="15" x14ac:dyDescent="0.25"/>
  <cols>
    <col min="1" max="1" width="38.42578125" style="1" customWidth="1"/>
    <col min="2" max="2" width="11.85546875" style="1" bestFit="1" customWidth="1"/>
    <col min="3" max="11" width="6.85546875" style="1" bestFit="1" customWidth="1"/>
    <col min="12" max="16384" width="9.140625" style="1"/>
  </cols>
  <sheetData>
    <row r="2" spans="1:11" x14ac:dyDescent="0.25">
      <c r="A2" s="366" t="s">
        <v>502</v>
      </c>
      <c r="B2" s="366"/>
      <c r="C2" s="366"/>
      <c r="D2" s="366"/>
      <c r="E2" s="366"/>
      <c r="F2" s="366"/>
      <c r="G2" s="366"/>
      <c r="H2" s="366"/>
    </row>
    <row r="4" spans="1:11" x14ac:dyDescent="0.25">
      <c r="A4" s="15" t="s">
        <v>489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490</v>
      </c>
      <c r="J4" s="15" t="s">
        <v>491</v>
      </c>
      <c r="K4" s="15" t="s">
        <v>492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493</v>
      </c>
      <c r="B6" s="232">
        <f>'P&amp;L'!B36</f>
        <v>-0.32670907812500682</v>
      </c>
      <c r="C6" s="232">
        <f>'P&amp;L'!C36</f>
        <v>-0.17774165078124693</v>
      </c>
      <c r="D6" s="232">
        <f>'P&amp;L'!D36</f>
        <v>0.26466719988284182</v>
      </c>
      <c r="E6" s="232">
        <f>'P&amp;L'!E36</f>
        <v>0.36678201768948338</v>
      </c>
      <c r="F6" s="232">
        <f>'P&amp;L'!F36</f>
        <v>0.96837992599584943</v>
      </c>
      <c r="G6" s="232">
        <f>'P&amp;L'!G36</f>
        <v>1.5355950066705608</v>
      </c>
      <c r="H6" s="232">
        <f>'P&amp;L'!H36</f>
        <v>2.278138830441593</v>
      </c>
      <c r="I6" s="232">
        <f>'P&amp;L'!I36</f>
        <v>3.1873572907136909</v>
      </c>
      <c r="J6" s="232">
        <f>'P&amp;L'!J36</f>
        <v>3.8599448263770131</v>
      </c>
      <c r="K6" s="232">
        <f>'P&amp;L'!K36</f>
        <v>3.629636995419717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503</v>
      </c>
      <c r="B8" s="232">
        <f>'P&amp;L'!B32</f>
        <v>1.1164434999999999</v>
      </c>
      <c r="C8" s="232">
        <f>'P&amp;L'!C32</f>
        <v>1.1164434999999999</v>
      </c>
      <c r="D8" s="232">
        <f>'P&amp;L'!D32</f>
        <v>1.1164434999999999</v>
      </c>
      <c r="E8" s="232">
        <f>'P&amp;L'!E32</f>
        <v>1.1164434999999999</v>
      </c>
      <c r="F8" s="232">
        <f>'P&amp;L'!F32</f>
        <v>1.1164434999999999</v>
      </c>
      <c r="G8" s="232">
        <f>'P&amp;L'!G32</f>
        <v>1.1164434999999999</v>
      </c>
      <c r="H8" s="232">
        <f>'P&amp;L'!H32</f>
        <v>1.1164434999999999</v>
      </c>
      <c r="I8" s="232">
        <f>'P&amp;L'!I32</f>
        <v>1.1164434999999999</v>
      </c>
      <c r="J8" s="232">
        <f>'P&amp;L'!J32</f>
        <v>1.1164434999999999</v>
      </c>
      <c r="K8" s="232">
        <f>'P&amp;L'!K32</f>
        <v>1.1164434999999999</v>
      </c>
    </row>
    <row r="9" spans="1:11" x14ac:dyDescent="0.25">
      <c r="A9" s="10" t="s">
        <v>504</v>
      </c>
      <c r="B9" s="232">
        <f>'P&amp;L'!B27</f>
        <v>0.15877500000000003</v>
      </c>
      <c r="C9" s="232">
        <f>'P&amp;L'!C27</f>
        <v>0.15877500000000003</v>
      </c>
      <c r="D9" s="232">
        <f>'P&amp;L'!D27</f>
        <v>0.15877500000000003</v>
      </c>
      <c r="E9" s="232">
        <f>'P&amp;L'!E27</f>
        <v>0.15877500000000003</v>
      </c>
      <c r="F9" s="232">
        <f>'P&amp;L'!F27</f>
        <v>0.15877500000000003</v>
      </c>
      <c r="G9" s="232">
        <f>'P&amp;L'!G27</f>
        <v>0.15877500000000003</v>
      </c>
      <c r="H9" s="232">
        <f>'P&amp;L'!H27</f>
        <v>0.15877500000000003</v>
      </c>
      <c r="I9" s="232">
        <f>'P&amp;L'!I27</f>
        <v>0.15877500000000003</v>
      </c>
      <c r="J9" s="232">
        <f>'P&amp;L'!J27</f>
        <v>0.15877500000000003</v>
      </c>
      <c r="K9" s="232">
        <f>'P&amp;L'!K27</f>
        <v>0.15877500000000003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495</v>
      </c>
      <c r="B11" s="232">
        <f>SUM(B6:B9)</f>
        <v>0.9485094218749931</v>
      </c>
      <c r="C11" s="232">
        <f t="shared" ref="C11:K11" si="0">SUM(C6:C9)</f>
        <v>1.097476849218753</v>
      </c>
      <c r="D11" s="232">
        <f t="shared" si="0"/>
        <v>1.5398856998828419</v>
      </c>
      <c r="E11" s="232">
        <f t="shared" si="0"/>
        <v>1.6420005176894834</v>
      </c>
      <c r="F11" s="232">
        <f t="shared" si="0"/>
        <v>2.2435984259958492</v>
      </c>
      <c r="G11" s="232">
        <f t="shared" si="0"/>
        <v>2.8108135066705606</v>
      </c>
      <c r="H11" s="232">
        <f t="shared" si="0"/>
        <v>3.5533573304415929</v>
      </c>
      <c r="I11" s="232">
        <f t="shared" si="0"/>
        <v>4.4625757907136911</v>
      </c>
      <c r="J11" s="232">
        <f t="shared" si="0"/>
        <v>5.1351633263770129</v>
      </c>
      <c r="K11" s="232">
        <f t="shared" si="0"/>
        <v>4.9048554954197172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505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506</v>
      </c>
      <c r="B15" s="19">
        <f>B11*B13</f>
        <v>0.86228129261363007</v>
      </c>
      <c r="C15" s="19">
        <f t="shared" ref="C15:K15" si="5">C11*C13</f>
        <v>0.907005660511366</v>
      </c>
      <c r="D15" s="19">
        <f t="shared" si="5"/>
        <v>1.1569389180186638</v>
      </c>
      <c r="E15" s="19">
        <f t="shared" si="5"/>
        <v>1.1215084472983288</v>
      </c>
      <c r="F15" s="19">
        <f t="shared" si="5"/>
        <v>1.3930981030827803</v>
      </c>
      <c r="G15" s="19">
        <f t="shared" si="5"/>
        <v>1.58663094675857</v>
      </c>
      <c r="H15" s="19">
        <f t="shared" si="5"/>
        <v>1.8234341610906943</v>
      </c>
      <c r="I15" s="19">
        <f t="shared" si="5"/>
        <v>2.0818245411132223</v>
      </c>
      <c r="J15" s="19">
        <f t="shared" si="5"/>
        <v>2.1778105366702172</v>
      </c>
      <c r="K15" s="19">
        <f t="shared" si="5"/>
        <v>1.8910341218806317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507</v>
      </c>
      <c r="B17" s="19">
        <f>SUM(B15:K15)</f>
        <v>15.001566729038105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508</v>
      </c>
      <c r="B19" s="45">
        <f>'Project Glance'!B15</f>
        <v>35.29021510416667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6" t="s">
        <v>510</v>
      </c>
      <c r="B21" s="201">
        <f>B17-B19</f>
        <v>-20.288648375128567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511</v>
      </c>
      <c r="B23" s="45">
        <f>'Project Glance'!B23-'Project Glance'!B20</f>
        <v>15.284565104166671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6" t="s">
        <v>509</v>
      </c>
      <c r="B25" s="201">
        <f>B17-B23</f>
        <v>-0.28299837512856563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85" zoomScaleNormal="80" zoomScaleSheetLayoutView="85" workbookViewId="0">
      <selection activeCell="A3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79" t="s">
        <v>488</v>
      </c>
      <c r="B1" s="379"/>
      <c r="C1" s="379"/>
      <c r="D1" s="379"/>
      <c r="E1" s="379"/>
      <c r="F1" s="379"/>
      <c r="G1" s="379"/>
      <c r="H1" s="379"/>
      <c r="I1" s="237"/>
      <c r="J1" s="237"/>
      <c r="K1" s="237"/>
    </row>
    <row r="2" spans="1:13" x14ac:dyDescent="0.25">
      <c r="A2" s="225"/>
      <c r="B2" s="225"/>
      <c r="C2" s="225"/>
      <c r="D2" s="225"/>
      <c r="E2" s="225"/>
      <c r="F2" s="225"/>
      <c r="G2" s="225"/>
    </row>
    <row r="3" spans="1:13" x14ac:dyDescent="0.25">
      <c r="A3" s="245" t="s">
        <v>489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490</v>
      </c>
      <c r="J3" s="46" t="s">
        <v>491</v>
      </c>
      <c r="K3" s="46" t="s">
        <v>492</v>
      </c>
    </row>
    <row r="4" spans="1:13" x14ac:dyDescent="0.25">
      <c r="A4" s="227"/>
      <c r="B4" s="227"/>
      <c r="C4" s="227"/>
      <c r="D4" s="227"/>
      <c r="E4" s="227"/>
      <c r="F4" s="227"/>
      <c r="G4" s="227"/>
      <c r="H4" s="6"/>
      <c r="I4" s="6"/>
      <c r="J4" s="6"/>
      <c r="K4" s="6"/>
    </row>
    <row r="5" spans="1:13" x14ac:dyDescent="0.25">
      <c r="A5" s="227" t="s">
        <v>493</v>
      </c>
      <c r="B5" s="228">
        <f>'P&amp;L'!B36</f>
        <v>-0.32670907812500682</v>
      </c>
      <c r="C5" s="228">
        <f>'P&amp;L'!C36</f>
        <v>-0.17774165078124693</v>
      </c>
      <c r="D5" s="228">
        <f>'P&amp;L'!D36</f>
        <v>0.26466719988284182</v>
      </c>
      <c r="E5" s="228">
        <f>'P&amp;L'!E36</f>
        <v>0.36678201768948338</v>
      </c>
      <c r="F5" s="228">
        <f>'P&amp;L'!F36</f>
        <v>0.96837992599584943</v>
      </c>
      <c r="G5" s="228">
        <f>'P&amp;L'!G36</f>
        <v>1.5355950066705608</v>
      </c>
      <c r="H5" s="228">
        <f>'P&amp;L'!H36</f>
        <v>2.278138830441593</v>
      </c>
      <c r="I5" s="228">
        <f>'P&amp;L'!I36</f>
        <v>3.1873572907136909</v>
      </c>
      <c r="J5" s="228">
        <f>'P&amp;L'!J36</f>
        <v>3.8599448263770131</v>
      </c>
      <c r="K5" s="228">
        <f>'P&amp;L'!K36</f>
        <v>3.629636995419717</v>
      </c>
      <c r="L5" s="226"/>
    </row>
    <row r="6" spans="1:13" x14ac:dyDescent="0.25">
      <c r="A6" s="227"/>
      <c r="B6" s="228"/>
      <c r="C6" s="228"/>
      <c r="D6" s="228"/>
      <c r="E6" s="228"/>
      <c r="F6" s="228"/>
      <c r="G6" s="227"/>
      <c r="H6" s="6"/>
      <c r="I6" s="6"/>
      <c r="J6" s="6"/>
      <c r="K6" s="6"/>
    </row>
    <row r="7" spans="1:13" x14ac:dyDescent="0.25">
      <c r="A7" s="229" t="s">
        <v>501</v>
      </c>
      <c r="B7" s="228">
        <f>'P&amp;L'!B32</f>
        <v>1.1164434999999999</v>
      </c>
      <c r="C7" s="228">
        <f>'P&amp;L'!C32</f>
        <v>1.1164434999999999</v>
      </c>
      <c r="D7" s="228">
        <f>'P&amp;L'!D32</f>
        <v>1.1164434999999999</v>
      </c>
      <c r="E7" s="228">
        <f>'P&amp;L'!E32</f>
        <v>1.1164434999999999</v>
      </c>
      <c r="F7" s="228">
        <f>'P&amp;L'!F32</f>
        <v>1.1164434999999999</v>
      </c>
      <c r="G7" s="228">
        <f>'P&amp;L'!G32</f>
        <v>1.1164434999999999</v>
      </c>
      <c r="H7" s="228">
        <f>'P&amp;L'!H32</f>
        <v>1.1164434999999999</v>
      </c>
      <c r="I7" s="228">
        <f>'P&amp;L'!I32</f>
        <v>1.1164434999999999</v>
      </c>
      <c r="J7" s="228">
        <f>'P&amp;L'!J32</f>
        <v>1.1164434999999999</v>
      </c>
      <c r="K7" s="228">
        <f>'P&amp;L'!K32</f>
        <v>1.1164434999999999</v>
      </c>
    </row>
    <row r="8" spans="1:13" x14ac:dyDescent="0.25">
      <c r="A8" s="227" t="s">
        <v>494</v>
      </c>
      <c r="B8" s="230">
        <f>'P&amp;L'!B27</f>
        <v>0.15877500000000003</v>
      </c>
      <c r="C8" s="230">
        <f>'P&amp;L'!C27</f>
        <v>0.15877500000000003</v>
      </c>
      <c r="D8" s="230">
        <f>'P&amp;L'!D27</f>
        <v>0.15877500000000003</v>
      </c>
      <c r="E8" s="230">
        <f>'P&amp;L'!E27</f>
        <v>0.15877500000000003</v>
      </c>
      <c r="F8" s="230">
        <f>'P&amp;L'!F27</f>
        <v>0.15877500000000003</v>
      </c>
      <c r="G8" s="230">
        <f>'P&amp;L'!G27</f>
        <v>0.15877500000000003</v>
      </c>
      <c r="H8" s="230">
        <f>'P&amp;L'!H27</f>
        <v>0.15877500000000003</v>
      </c>
      <c r="I8" s="230">
        <f>'P&amp;L'!I27</f>
        <v>0.15877500000000003</v>
      </c>
      <c r="J8" s="230">
        <f>'P&amp;L'!J27</f>
        <v>0.15877500000000003</v>
      </c>
      <c r="K8" s="230">
        <f>'P&amp;L'!K27</f>
        <v>0.15877500000000003</v>
      </c>
    </row>
    <row r="9" spans="1:13" x14ac:dyDescent="0.25">
      <c r="A9" s="227"/>
      <c r="B9" s="227"/>
      <c r="C9" s="227"/>
      <c r="D9" s="227"/>
      <c r="E9" s="227"/>
      <c r="F9" s="227"/>
      <c r="G9" s="227"/>
      <c r="H9" s="6"/>
      <c r="I9" s="6"/>
      <c r="J9" s="6"/>
      <c r="K9" s="6"/>
    </row>
    <row r="10" spans="1:13" x14ac:dyDescent="0.25">
      <c r="A10" s="227" t="s">
        <v>495</v>
      </c>
      <c r="B10" s="228">
        <f>SUM(B5:B8)</f>
        <v>0.9485094218749931</v>
      </c>
      <c r="C10" s="228">
        <f t="shared" ref="C10:K10" si="0">SUM(C5:C8)</f>
        <v>1.097476849218753</v>
      </c>
      <c r="D10" s="228">
        <f t="shared" si="0"/>
        <v>1.5398856998828419</v>
      </c>
      <c r="E10" s="228">
        <f t="shared" si="0"/>
        <v>1.6420005176894834</v>
      </c>
      <c r="F10" s="228">
        <f t="shared" si="0"/>
        <v>2.2435984259958492</v>
      </c>
      <c r="G10" s="228">
        <f t="shared" si="0"/>
        <v>2.8108135066705606</v>
      </c>
      <c r="H10" s="228">
        <f t="shared" si="0"/>
        <v>3.5533573304415929</v>
      </c>
      <c r="I10" s="228">
        <f t="shared" si="0"/>
        <v>4.4625757907136911</v>
      </c>
      <c r="J10" s="228">
        <f t="shared" si="0"/>
        <v>5.1351633263770129</v>
      </c>
      <c r="K10" s="228">
        <f t="shared" si="0"/>
        <v>4.9048554954197172</v>
      </c>
    </row>
    <row r="11" spans="1:13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3" x14ac:dyDescent="0.25">
      <c r="A12" s="231" t="s">
        <v>712</v>
      </c>
      <c r="B12" s="72">
        <f>1/M12</f>
        <v>0.87017055342847194</v>
      </c>
      <c r="C12" s="232">
        <f t="shared" ref="C12:H12" si="1">B12/$M$12</f>
        <v>0.75719679205401313</v>
      </c>
      <c r="D12" s="232">
        <f t="shared" si="1"/>
        <v>0.65889035159590426</v>
      </c>
      <c r="E12" s="232">
        <f t="shared" si="1"/>
        <v>0.57334698189688849</v>
      </c>
      <c r="F12" s="232">
        <f t="shared" si="1"/>
        <v>0.49890966054375957</v>
      </c>
      <c r="G12" s="232">
        <f t="shared" si="1"/>
        <v>0.43413649542617433</v>
      </c>
      <c r="H12" s="232">
        <f t="shared" si="1"/>
        <v>0.37777279448849144</v>
      </c>
      <c r="I12" s="232">
        <f t="shared" ref="I12:K12" si="2">H12/$M$12</f>
        <v>0.32872676165027098</v>
      </c>
      <c r="J12" s="232">
        <f t="shared" si="2"/>
        <v>0.28604834811196572</v>
      </c>
      <c r="K12" s="232">
        <f t="shared" si="2"/>
        <v>0.24891084938388941</v>
      </c>
      <c r="M12" s="1">
        <v>1.1492</v>
      </c>
    </row>
    <row r="13" spans="1:13" x14ac:dyDescent="0.25">
      <c r="A13" s="227" t="s">
        <v>496</v>
      </c>
      <c r="B13" s="228">
        <f t="shared" ref="B13:H13" si="3">B10*B12</f>
        <v>0.82536496856508268</v>
      </c>
      <c r="C13" s="228">
        <f t="shared" si="3"/>
        <v>0.83100594958198559</v>
      </c>
      <c r="D13" s="228">
        <f t="shared" si="3"/>
        <v>1.0146158302133108</v>
      </c>
      <c r="E13" s="228">
        <f>E10*E12</f>
        <v>0.9414360410903938</v>
      </c>
      <c r="F13" s="228">
        <f t="shared" si="3"/>
        <v>1.1193529291101023</v>
      </c>
      <c r="G13" s="228">
        <f t="shared" si="3"/>
        <v>1.2202767250825128</v>
      </c>
      <c r="H13" s="228">
        <f t="shared" si="3"/>
        <v>1.3423617285370864</v>
      </c>
      <c r="I13" s="228">
        <f t="shared" ref="I13:K13" si="4">I10*I12</f>
        <v>1.4669680883002092</v>
      </c>
      <c r="J13" s="228">
        <f t="shared" si="4"/>
        <v>1.4689049867952917</v>
      </c>
      <c r="K13" s="228">
        <f t="shared" si="4"/>
        <v>1.2208717474701596</v>
      </c>
    </row>
    <row r="14" spans="1:13" x14ac:dyDescent="0.25">
      <c r="A14" s="227" t="s">
        <v>497</v>
      </c>
      <c r="B14" s="380">
        <f>SUM(B13:K13)</f>
        <v>11.451158994746134</v>
      </c>
      <c r="C14" s="381"/>
      <c r="D14" s="381"/>
      <c r="E14" s="381"/>
      <c r="F14" s="381"/>
      <c r="G14" s="381"/>
      <c r="H14" s="381"/>
      <c r="I14" s="381"/>
      <c r="J14" s="381"/>
      <c r="K14" s="382"/>
    </row>
    <row r="15" spans="1:13" x14ac:dyDescent="0.25">
      <c r="A15" s="227"/>
      <c r="B15" s="228"/>
      <c r="C15" s="228"/>
      <c r="D15" s="228"/>
      <c r="E15" s="228"/>
      <c r="F15" s="228"/>
      <c r="G15" s="227"/>
      <c r="H15" s="6"/>
      <c r="I15" s="6"/>
      <c r="J15" s="6"/>
      <c r="K15" s="6"/>
    </row>
    <row r="16" spans="1:13" x14ac:dyDescent="0.25">
      <c r="A16" s="227" t="s">
        <v>498</v>
      </c>
      <c r="B16" s="380">
        <f>'Project Glance'!B15</f>
        <v>35.29021510416667</v>
      </c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9" t="s">
        <v>499</v>
      </c>
      <c r="B19" s="286">
        <f>(M12*100)-100</f>
        <v>14.920000000000002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1" t="s">
        <v>695</v>
      </c>
      <c r="B22" s="72">
        <f>1/M22</f>
        <v>0.69948168407210254</v>
      </c>
      <c r="C22" s="232">
        <f t="shared" ref="C22:H22" si="5">B22/$M$22</f>
        <v>0.4892746263523447</v>
      </c>
      <c r="D22" s="232">
        <f t="shared" si="5"/>
        <v>0.34223863961468681</v>
      </c>
      <c r="E22" s="232">
        <f t="shared" si="5"/>
        <v>0.23938965999222653</v>
      </c>
      <c r="F22" s="232">
        <f t="shared" si="5"/>
        <v>0.16744868252081066</v>
      </c>
      <c r="G22" s="232">
        <f t="shared" si="5"/>
        <v>0.11712728644531149</v>
      </c>
      <c r="H22" s="232">
        <f t="shared" si="5"/>
        <v>8.1928391573562034E-2</v>
      </c>
      <c r="I22" s="232">
        <f t="shared" ref="I22:K22" si="6">H22/$M$22</f>
        <v>5.7307409311193831E-2</v>
      </c>
      <c r="J22" s="232">
        <f t="shared" si="6"/>
        <v>4.0085483174803156E-2</v>
      </c>
      <c r="K22" s="232">
        <f t="shared" si="6"/>
        <v>2.8039061277955246E-2</v>
      </c>
      <c r="M22" s="1">
        <v>1.42963</v>
      </c>
    </row>
    <row r="23" spans="1:13" x14ac:dyDescent="0.25">
      <c r="A23" s="227" t="s">
        <v>496</v>
      </c>
      <c r="B23" s="228">
        <f>ROUND(B10*B22,2)</f>
        <v>0.66</v>
      </c>
      <c r="C23" s="228">
        <f t="shared" ref="C23:H23" si="7">ROUND(C10*C22,2)</f>
        <v>0.54</v>
      </c>
      <c r="D23" s="228">
        <f t="shared" si="7"/>
        <v>0.53</v>
      </c>
      <c r="E23" s="228">
        <f t="shared" si="7"/>
        <v>0.39</v>
      </c>
      <c r="F23" s="228">
        <f t="shared" si="7"/>
        <v>0.38</v>
      </c>
      <c r="G23" s="228">
        <f t="shared" si="7"/>
        <v>0.33</v>
      </c>
      <c r="H23" s="228">
        <f t="shared" si="7"/>
        <v>0.28999999999999998</v>
      </c>
      <c r="I23" s="228">
        <f t="shared" ref="I23:K23" si="8">ROUND(I10*I22,2)</f>
        <v>0.26</v>
      </c>
      <c r="J23" s="228">
        <f t="shared" si="8"/>
        <v>0.21</v>
      </c>
      <c r="K23" s="228">
        <f t="shared" si="8"/>
        <v>0.14000000000000001</v>
      </c>
    </row>
    <row r="24" spans="1:13" x14ac:dyDescent="0.25">
      <c r="A24" s="227" t="s">
        <v>497</v>
      </c>
      <c r="B24" s="380">
        <f>SUM(B23:K23)</f>
        <v>3.73</v>
      </c>
      <c r="C24" s="381"/>
      <c r="D24" s="381"/>
      <c r="E24" s="381"/>
      <c r="F24" s="381"/>
      <c r="G24" s="381"/>
      <c r="H24" s="381"/>
      <c r="I24" s="381"/>
      <c r="J24" s="381"/>
      <c r="K24" s="382"/>
    </row>
    <row r="25" spans="1:13" x14ac:dyDescent="0.25">
      <c r="A25" s="227"/>
      <c r="B25" s="228"/>
      <c r="C25" s="228"/>
      <c r="D25" s="228"/>
      <c r="E25" s="228"/>
      <c r="F25" s="228"/>
      <c r="G25" s="227"/>
      <c r="H25" s="6"/>
      <c r="I25" s="6"/>
      <c r="J25" s="6"/>
      <c r="K25" s="6"/>
    </row>
    <row r="26" spans="1:13" x14ac:dyDescent="0.25">
      <c r="A26" s="227" t="s">
        <v>515</v>
      </c>
      <c r="B26" s="380">
        <f>'Project Glance'!B23-'Project Glance'!B20</f>
        <v>15.284565104166671</v>
      </c>
      <c r="C26" s="381"/>
      <c r="D26" s="381"/>
      <c r="E26" s="381"/>
      <c r="F26" s="381"/>
      <c r="G26" s="381"/>
      <c r="H26" s="381"/>
      <c r="I26" s="381"/>
      <c r="J26" s="381"/>
      <c r="K26" s="382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9" t="s">
        <v>500</v>
      </c>
      <c r="B28" s="199">
        <f>ROUND(M22*100,2)-100</f>
        <v>42.960000000000008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cellWatches>
    <cellWatch r="B14"/>
    <cellWatch r="B16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6" t="s">
        <v>521</v>
      </c>
      <c r="B2" s="236"/>
      <c r="C2" s="236"/>
      <c r="D2" s="236"/>
      <c r="E2" s="236"/>
      <c r="F2" s="236"/>
    </row>
    <row r="3" spans="1:7" x14ac:dyDescent="0.25">
      <c r="A3" s="237"/>
      <c r="B3" s="237"/>
      <c r="C3" s="237"/>
      <c r="D3" s="237"/>
      <c r="E3" s="237"/>
      <c r="F3" s="237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4"/>
      <c r="B5" s="238"/>
      <c r="C5" s="238"/>
      <c r="D5" s="238"/>
      <c r="E5" s="238"/>
      <c r="F5" s="238"/>
      <c r="G5" s="6"/>
    </row>
    <row r="6" spans="1:7" x14ac:dyDescent="0.25">
      <c r="A6" s="239" t="s">
        <v>522</v>
      </c>
      <c r="B6" s="227"/>
      <c r="C6" s="227"/>
      <c r="D6" s="227"/>
      <c r="E6" s="227"/>
      <c r="F6" s="227"/>
      <c r="G6" s="6"/>
    </row>
    <row r="7" spans="1:7" x14ac:dyDescent="0.25">
      <c r="A7" s="234" t="s">
        <v>318</v>
      </c>
      <c r="B7" s="228">
        <f>BS!C20</f>
        <v>0</v>
      </c>
      <c r="C7" s="228">
        <f>BS!D20</f>
        <v>0</v>
      </c>
      <c r="D7" s="228">
        <f>BS!E20</f>
        <v>0</v>
      </c>
      <c r="E7" s="228">
        <f>BS!F20</f>
        <v>0</v>
      </c>
      <c r="F7" s="228">
        <f>BS!G20</f>
        <v>0</v>
      </c>
      <c r="G7" s="228">
        <f>BS!H20</f>
        <v>0</v>
      </c>
    </row>
    <row r="8" spans="1:7" x14ac:dyDescent="0.25">
      <c r="A8" s="227"/>
      <c r="B8" s="228"/>
      <c r="C8" s="228"/>
      <c r="D8" s="228"/>
      <c r="E8" s="228"/>
      <c r="F8" s="228"/>
      <c r="G8" s="6"/>
    </row>
    <row r="9" spans="1:7" x14ac:dyDescent="0.25">
      <c r="A9" s="227" t="s">
        <v>523</v>
      </c>
      <c r="B9" s="228">
        <f>SUM(B7:B8)</f>
        <v>0</v>
      </c>
      <c r="C9" s="228">
        <f t="shared" ref="C9:F9" si="0">SUM(C7:C8)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>SUM(G7:G8)</f>
        <v>0</v>
      </c>
    </row>
    <row r="10" spans="1:7" x14ac:dyDescent="0.25">
      <c r="A10" s="227"/>
      <c r="B10" s="227"/>
      <c r="C10" s="227"/>
      <c r="D10" s="227"/>
      <c r="E10" s="227"/>
      <c r="F10" s="227"/>
      <c r="G10" s="6"/>
    </row>
    <row r="11" spans="1:7" x14ac:dyDescent="0.25">
      <c r="A11" s="239" t="s">
        <v>524</v>
      </c>
      <c r="B11" s="227"/>
      <c r="C11" s="227"/>
      <c r="D11" s="227"/>
      <c r="E11" s="227"/>
      <c r="F11" s="227"/>
      <c r="G11" s="6"/>
    </row>
    <row r="12" spans="1:7" x14ac:dyDescent="0.25">
      <c r="A12" s="227" t="s">
        <v>525</v>
      </c>
      <c r="B12" s="227"/>
      <c r="C12" s="227"/>
      <c r="D12" s="227"/>
      <c r="E12" s="227"/>
      <c r="F12" s="227"/>
      <c r="G12" s="6"/>
    </row>
    <row r="13" spans="1:7" x14ac:dyDescent="0.25">
      <c r="A13" s="234" t="s">
        <v>526</v>
      </c>
      <c r="B13" s="228">
        <f>BS!C9</f>
        <v>15.284565104166671</v>
      </c>
      <c r="C13" s="228">
        <f>BS!D9</f>
        <v>15.284565104166671</v>
      </c>
      <c r="D13" s="228">
        <f>BS!E9</f>
        <v>15.284565104166671</v>
      </c>
      <c r="E13" s="228">
        <f>BS!F9</f>
        <v>15.284565104166671</v>
      </c>
      <c r="F13" s="228">
        <f>BS!G9</f>
        <v>15.284565104166671</v>
      </c>
      <c r="G13" s="228">
        <f>BS!H9</f>
        <v>15.284565104166671</v>
      </c>
    </row>
    <row r="14" spans="1:7" x14ac:dyDescent="0.25">
      <c r="A14" s="234" t="s">
        <v>527</v>
      </c>
      <c r="B14" s="228">
        <f>BS!C13+BS!C19</f>
        <v>19.678940921874993</v>
      </c>
      <c r="C14" s="228">
        <f>BS!D13+BS!D19</f>
        <v>19.501199271093746</v>
      </c>
      <c r="D14" s="228">
        <f>BS!E13+BS!E19</f>
        <v>19.765866470976587</v>
      </c>
      <c r="E14" s="228">
        <f>BS!F13+BS!F19</f>
        <v>20.132648488666071</v>
      </c>
      <c r="F14" s="228">
        <f>BS!G13+BS!G19</f>
        <v>21.101028414661918</v>
      </c>
      <c r="G14" s="228">
        <f>BS!H13+BS!H19</f>
        <v>22.63662342133248</v>
      </c>
    </row>
    <row r="15" spans="1:7" x14ac:dyDescent="0.25">
      <c r="A15" s="227"/>
      <c r="B15" s="228"/>
      <c r="C15" s="228"/>
      <c r="D15" s="228"/>
      <c r="E15" s="228"/>
      <c r="F15" s="228"/>
      <c r="G15" s="6"/>
    </row>
    <row r="16" spans="1:7" x14ac:dyDescent="0.25">
      <c r="A16" s="227" t="s">
        <v>523</v>
      </c>
      <c r="B16" s="228">
        <f>SUM(B13:B15)</f>
        <v>34.963506026041664</v>
      </c>
      <c r="C16" s="228">
        <f t="shared" ref="C16:G16" si="1">SUM(C13:C15)</f>
        <v>34.785764375260413</v>
      </c>
      <c r="D16" s="228">
        <f t="shared" si="1"/>
        <v>35.050431575143257</v>
      </c>
      <c r="E16" s="228">
        <f t="shared" si="1"/>
        <v>35.417213592832738</v>
      </c>
      <c r="F16" s="228">
        <f t="shared" si="1"/>
        <v>36.385593518828586</v>
      </c>
      <c r="G16" s="228">
        <f t="shared" si="1"/>
        <v>37.921188525499147</v>
      </c>
    </row>
    <row r="17" spans="1:7" x14ac:dyDescent="0.25">
      <c r="A17" s="227"/>
      <c r="B17" s="227"/>
      <c r="C17" s="227"/>
      <c r="D17" s="227"/>
      <c r="E17" s="227"/>
      <c r="F17" s="227"/>
      <c r="G17" s="6"/>
    </row>
    <row r="18" spans="1:7" x14ac:dyDescent="0.25">
      <c r="A18" s="240" t="s">
        <v>528</v>
      </c>
      <c r="B18" s="230">
        <f>B9/B16</f>
        <v>0</v>
      </c>
      <c r="C18" s="230">
        <f t="shared" ref="C18:G18" si="2">C9/C16</f>
        <v>0</v>
      </c>
      <c r="D18" s="230">
        <f t="shared" si="2"/>
        <v>0</v>
      </c>
      <c r="E18" s="230">
        <f t="shared" si="2"/>
        <v>0</v>
      </c>
      <c r="F18" s="230">
        <f t="shared" si="2"/>
        <v>0</v>
      </c>
      <c r="G18" s="230">
        <f t="shared" si="2"/>
        <v>0</v>
      </c>
    </row>
    <row r="19" spans="1:7" s="3" customFormat="1" x14ac:dyDescent="0.25">
      <c r="A19" s="243" t="s">
        <v>541</v>
      </c>
      <c r="B19" s="383">
        <f>SUM(B18:F18)/6</f>
        <v>0</v>
      </c>
      <c r="C19" s="384"/>
      <c r="D19" s="384"/>
      <c r="E19" s="384"/>
      <c r="F19" s="384"/>
      <c r="G19" s="385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40"/>
      <c r="B21" s="45"/>
      <c r="C21" s="6"/>
      <c r="D21" s="6"/>
      <c r="E21" s="6"/>
      <c r="F21" s="6"/>
      <c r="G21" s="6"/>
    </row>
    <row r="22" spans="1:7" x14ac:dyDescent="0.25">
      <c r="A22" s="239" t="s">
        <v>522</v>
      </c>
      <c r="B22" s="227"/>
      <c r="C22" s="227"/>
      <c r="D22" s="227"/>
      <c r="E22" s="227"/>
      <c r="F22" s="227"/>
      <c r="G22" s="6"/>
    </row>
    <row r="23" spans="1:7" x14ac:dyDescent="0.25">
      <c r="A23" s="234" t="s">
        <v>318</v>
      </c>
      <c r="B23" s="228">
        <f>B7</f>
        <v>0</v>
      </c>
      <c r="C23" s="228">
        <f t="shared" ref="C23:G23" si="3">C7</f>
        <v>0</v>
      </c>
      <c r="D23" s="228">
        <f t="shared" si="3"/>
        <v>0</v>
      </c>
      <c r="E23" s="228">
        <f t="shared" si="3"/>
        <v>0</v>
      </c>
      <c r="F23" s="228">
        <f t="shared" si="3"/>
        <v>0</v>
      </c>
      <c r="G23" s="228">
        <f t="shared" si="3"/>
        <v>0</v>
      </c>
    </row>
    <row r="24" spans="1:7" x14ac:dyDescent="0.25">
      <c r="A24" s="227"/>
      <c r="B24" s="228"/>
      <c r="C24" s="228"/>
      <c r="D24" s="228"/>
      <c r="E24" s="228"/>
      <c r="F24" s="228"/>
      <c r="G24" s="6"/>
    </row>
    <row r="25" spans="1:7" x14ac:dyDescent="0.25">
      <c r="A25" s="227" t="s">
        <v>523</v>
      </c>
      <c r="B25" s="228">
        <f>SUM(B23:B24)</f>
        <v>0</v>
      </c>
      <c r="C25" s="228">
        <f t="shared" ref="C25:G25" si="4">SUM(C23:C24)</f>
        <v>0</v>
      </c>
      <c r="D25" s="228">
        <f t="shared" si="4"/>
        <v>0</v>
      </c>
      <c r="E25" s="228">
        <f t="shared" si="4"/>
        <v>0</v>
      </c>
      <c r="F25" s="228">
        <f t="shared" si="4"/>
        <v>0</v>
      </c>
      <c r="G25" s="228">
        <f t="shared" si="4"/>
        <v>0</v>
      </c>
    </row>
    <row r="26" spans="1:7" x14ac:dyDescent="0.25">
      <c r="A26" s="227"/>
      <c r="B26" s="227"/>
      <c r="C26" s="227"/>
      <c r="D26" s="227"/>
      <c r="E26" s="227"/>
      <c r="F26" s="227"/>
      <c r="G26" s="6"/>
    </row>
    <row r="27" spans="1:7" x14ac:dyDescent="0.25">
      <c r="A27" s="239" t="s">
        <v>524</v>
      </c>
      <c r="B27" s="227"/>
      <c r="C27" s="227"/>
      <c r="D27" s="227"/>
      <c r="E27" s="227"/>
      <c r="F27" s="227"/>
      <c r="G27" s="6"/>
    </row>
    <row r="28" spans="1:7" x14ac:dyDescent="0.25">
      <c r="A28" s="227" t="s">
        <v>525</v>
      </c>
      <c r="B28" s="227"/>
      <c r="C28" s="227"/>
      <c r="D28" s="227"/>
      <c r="E28" s="227"/>
      <c r="F28" s="227"/>
      <c r="G28" s="6"/>
    </row>
    <row r="29" spans="1:7" x14ac:dyDescent="0.25">
      <c r="A29" s="234" t="s">
        <v>526</v>
      </c>
      <c r="B29" s="228">
        <f>B13</f>
        <v>15.284565104166671</v>
      </c>
      <c r="C29" s="228">
        <f t="shared" ref="C29:G29" si="5">C13</f>
        <v>15.284565104166671</v>
      </c>
      <c r="D29" s="228">
        <f t="shared" si="5"/>
        <v>15.284565104166671</v>
      </c>
      <c r="E29" s="228">
        <f t="shared" si="5"/>
        <v>15.284565104166671</v>
      </c>
      <c r="F29" s="228">
        <f t="shared" si="5"/>
        <v>15.284565104166671</v>
      </c>
      <c r="G29" s="228">
        <f t="shared" si="5"/>
        <v>15.284565104166671</v>
      </c>
    </row>
    <row r="30" spans="1:7" x14ac:dyDescent="0.25">
      <c r="A30" s="234" t="s">
        <v>529</v>
      </c>
      <c r="B30" s="228">
        <f>BS!C19</f>
        <v>-0.32670907812500682</v>
      </c>
      <c r="C30" s="228">
        <f>BS!D19</f>
        <v>-0.50445072890625375</v>
      </c>
      <c r="D30" s="228">
        <f>BS!E19</f>
        <v>-0.23978352902341193</v>
      </c>
      <c r="E30" s="228">
        <f>BS!F19</f>
        <v>0.12699848866607144</v>
      </c>
      <c r="F30" s="228">
        <f>BS!G19</f>
        <v>1.095378414661921</v>
      </c>
      <c r="G30" s="228">
        <f>BS!H19</f>
        <v>2.6309734213324818</v>
      </c>
    </row>
    <row r="31" spans="1:7" x14ac:dyDescent="0.25">
      <c r="A31" s="227"/>
      <c r="B31" s="228"/>
      <c r="C31" s="228"/>
      <c r="D31" s="228"/>
      <c r="E31" s="228"/>
      <c r="F31" s="228"/>
      <c r="G31" s="6"/>
    </row>
    <row r="32" spans="1:7" x14ac:dyDescent="0.25">
      <c r="A32" s="227" t="s">
        <v>523</v>
      </c>
      <c r="B32" s="228">
        <f>SUM(B29:B31)</f>
        <v>14.957856026041664</v>
      </c>
      <c r="C32" s="228">
        <f t="shared" ref="C32:G32" si="6">SUM(C29:C31)</f>
        <v>14.780114375260418</v>
      </c>
      <c r="D32" s="228">
        <f t="shared" si="6"/>
        <v>15.044781575143258</v>
      </c>
      <c r="E32" s="228">
        <f t="shared" si="6"/>
        <v>15.411563592832742</v>
      </c>
      <c r="F32" s="228">
        <f t="shared" si="6"/>
        <v>16.37994351882859</v>
      </c>
      <c r="G32" s="228">
        <f t="shared" si="6"/>
        <v>17.915538525499151</v>
      </c>
    </row>
    <row r="33" spans="1:7" x14ac:dyDescent="0.25">
      <c r="A33" s="227"/>
      <c r="B33" s="227"/>
      <c r="C33" s="227"/>
      <c r="D33" s="227"/>
      <c r="E33" s="227"/>
      <c r="F33" s="227"/>
      <c r="G33" s="6"/>
    </row>
    <row r="34" spans="1:7" x14ac:dyDescent="0.25">
      <c r="A34" s="240" t="s">
        <v>530</v>
      </c>
      <c r="B34" s="230">
        <f>B25/B32</f>
        <v>0</v>
      </c>
      <c r="C34" s="230">
        <f t="shared" ref="C34:G34" si="7">C25/C32</f>
        <v>0</v>
      </c>
      <c r="D34" s="230">
        <f t="shared" si="7"/>
        <v>0</v>
      </c>
      <c r="E34" s="230">
        <f t="shared" si="7"/>
        <v>0</v>
      </c>
      <c r="F34" s="230">
        <f t="shared" si="7"/>
        <v>0</v>
      </c>
      <c r="G34" s="230">
        <f t="shared" si="7"/>
        <v>0</v>
      </c>
    </row>
    <row r="35" spans="1:7" x14ac:dyDescent="0.25">
      <c r="A35" s="243" t="s">
        <v>542</v>
      </c>
      <c r="B35" s="383">
        <f>SUM(B34:G34)/6</f>
        <v>0</v>
      </c>
      <c r="C35" s="384"/>
      <c r="D35" s="384"/>
      <c r="E35" s="384"/>
      <c r="F35" s="384"/>
      <c r="G35" s="385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5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6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6"/>
      <c r="G4" s="1" t="s">
        <v>362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6"/>
      <c r="G5" s="1" t="s">
        <v>363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6"/>
      <c r="G6" s="1" t="s">
        <v>362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6"/>
      <c r="G7" s="1" t="s">
        <v>362</v>
      </c>
    </row>
    <row r="8" spans="1:7" x14ac:dyDescent="0.25">
      <c r="A8" s="6"/>
      <c r="B8" s="6" t="s">
        <v>12</v>
      </c>
      <c r="C8" s="6" t="s">
        <v>73</v>
      </c>
      <c r="D8" s="9">
        <f>25*2</f>
        <v>50</v>
      </c>
      <c r="E8" s="9"/>
      <c r="F8" s="126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6"/>
      <c r="G9" s="5" t="s">
        <v>390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6"/>
      <c r="G10" s="1" t="s">
        <v>362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6"/>
      <c r="G11" s="1" t="s">
        <v>362</v>
      </c>
    </row>
    <row r="12" spans="1:7" x14ac:dyDescent="0.25">
      <c r="A12" s="6"/>
      <c r="B12" s="6"/>
      <c r="C12" s="6"/>
      <c r="D12" s="6"/>
      <c r="E12" s="9"/>
      <c r="F12" s="126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6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6"/>
    </row>
    <row r="15" spans="1:7" x14ac:dyDescent="0.25">
      <c r="A15" s="7">
        <v>7</v>
      </c>
      <c r="B15" s="8" t="s">
        <v>23</v>
      </c>
      <c r="C15" s="6" t="s">
        <v>361</v>
      </c>
      <c r="D15" s="6"/>
      <c r="E15" s="9">
        <f>'WC Assessment'!C13</f>
        <v>1.9474651041666671</v>
      </c>
      <c r="F15" s="126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343" t="s">
        <v>24</v>
      </c>
      <c r="C17" s="343"/>
      <c r="D17" s="6"/>
      <c r="E17" s="11">
        <f>SUM(E4:E15)</f>
        <v>162.94746510416667</v>
      </c>
      <c r="F17" s="127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66" t="s">
        <v>540</v>
      </c>
      <c r="B1" s="366"/>
      <c r="C1" s="366"/>
      <c r="D1" s="366"/>
      <c r="E1" s="366"/>
      <c r="F1" s="366"/>
      <c r="G1" s="366"/>
      <c r="H1" s="366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531</v>
      </c>
      <c r="B4" s="19">
        <f>'P&amp;L'!B36</f>
        <v>-0.32670907812500682</v>
      </c>
      <c r="C4" s="19">
        <f>'P&amp;L'!C36</f>
        <v>-0.17774165078124693</v>
      </c>
      <c r="D4" s="19">
        <f>'P&amp;L'!D36</f>
        <v>0.26466719988284182</v>
      </c>
      <c r="E4" s="19">
        <f>'P&amp;L'!E36</f>
        <v>0.36678201768948338</v>
      </c>
      <c r="F4" s="19">
        <f>'P&amp;L'!F36</f>
        <v>0.96837992599584943</v>
      </c>
      <c r="G4" s="19">
        <f>'P&amp;L'!G36</f>
        <v>1.5355950066705608</v>
      </c>
      <c r="H4" s="19">
        <f>'P&amp;L'!H36</f>
        <v>2.278138830441593</v>
      </c>
      <c r="I4" s="13"/>
    </row>
    <row r="5" spans="1:9" ht="30" x14ac:dyDescent="0.25">
      <c r="A5" s="10" t="s">
        <v>532</v>
      </c>
      <c r="B5" s="19">
        <f>'P&amp;L'!B32</f>
        <v>1.1164434999999999</v>
      </c>
      <c r="C5" s="19">
        <f>'P&amp;L'!C32</f>
        <v>1.1164434999999999</v>
      </c>
      <c r="D5" s="19">
        <f>'P&amp;L'!D32</f>
        <v>1.1164434999999999</v>
      </c>
      <c r="E5" s="19">
        <f>'P&amp;L'!E32</f>
        <v>1.1164434999999999</v>
      </c>
      <c r="F5" s="19">
        <f>'P&amp;L'!F32</f>
        <v>1.1164434999999999</v>
      </c>
      <c r="G5" s="19">
        <f>'P&amp;L'!G32</f>
        <v>1.1164434999999999</v>
      </c>
      <c r="H5" s="19">
        <f>'P&amp;L'!H32</f>
        <v>1.1164434999999999</v>
      </c>
    </row>
    <row r="6" spans="1:9" ht="30" x14ac:dyDescent="0.25">
      <c r="A6" s="10" t="s">
        <v>533</v>
      </c>
      <c r="B6" s="19">
        <f>'P&amp;L'!B27</f>
        <v>0.15877500000000003</v>
      </c>
      <c r="C6" s="19">
        <f>'P&amp;L'!C27</f>
        <v>0.15877500000000003</v>
      </c>
      <c r="D6" s="19">
        <f>'P&amp;L'!D27</f>
        <v>0.15877500000000003</v>
      </c>
      <c r="E6" s="19">
        <f>'P&amp;L'!E27</f>
        <v>0.15877500000000003</v>
      </c>
      <c r="F6" s="19">
        <f>'P&amp;L'!F27</f>
        <v>0.15877500000000003</v>
      </c>
      <c r="G6" s="19">
        <f>'P&amp;L'!G27</f>
        <v>0.15877500000000003</v>
      </c>
      <c r="H6" s="19">
        <f>'P&amp;L'!H27</f>
        <v>0.15877500000000003</v>
      </c>
    </row>
    <row r="7" spans="1:9" ht="30" x14ac:dyDescent="0.25">
      <c r="A7" s="10" t="s">
        <v>534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535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536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354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537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538</v>
      </c>
      <c r="B16" s="386" t="e">
        <f>SUM(B12:G12)/6</f>
        <v>#DIV/0!</v>
      </c>
      <c r="C16" s="386"/>
      <c r="D16" s="386"/>
      <c r="E16" s="386"/>
      <c r="F16" s="386"/>
      <c r="G16" s="386"/>
      <c r="H16" s="386"/>
    </row>
    <row r="17" spans="1:8" hidden="1" x14ac:dyDescent="0.25">
      <c r="A17" s="8" t="s">
        <v>539</v>
      </c>
      <c r="B17" s="386" t="e">
        <f>SUM(B14:G14)/6</f>
        <v>#DIV/0!</v>
      </c>
      <c r="C17" s="386"/>
      <c r="D17" s="386"/>
      <c r="E17" s="386"/>
      <c r="F17" s="386"/>
      <c r="G17" s="386"/>
      <c r="H17" s="386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85" zoomScaleNormal="80" zoomScaleSheetLayoutView="85" workbookViewId="0">
      <selection activeCell="A28" sqref="A28:K44"/>
    </sheetView>
  </sheetViews>
  <sheetFormatPr defaultRowHeight="15" x14ac:dyDescent="0.25"/>
  <cols>
    <col min="1" max="1" width="32" style="104" bestFit="1" customWidth="1"/>
    <col min="2" max="6" width="14.7109375" style="104" bestFit="1" customWidth="1"/>
    <col min="7" max="7" width="13.42578125" style="104" bestFit="1" customWidth="1"/>
    <col min="8" max="8" width="14.7109375" style="104" bestFit="1" customWidth="1"/>
    <col min="9" max="11" width="7.7109375" style="104" bestFit="1" customWidth="1"/>
    <col min="12" max="14" width="9.140625" style="104"/>
    <col min="15" max="15" width="23.42578125" style="104" bestFit="1" customWidth="1"/>
    <col min="16" max="16384" width="9.140625" style="104"/>
  </cols>
  <sheetData>
    <row r="1" spans="1:15" hidden="1" x14ac:dyDescent="0.25">
      <c r="A1" s="133" t="s">
        <v>343</v>
      </c>
      <c r="B1" s="100"/>
      <c r="C1" s="100"/>
      <c r="D1" s="100"/>
      <c r="E1" s="100"/>
      <c r="F1" s="100"/>
      <c r="G1" s="100"/>
      <c r="H1" s="100"/>
    </row>
    <row r="2" spans="1:15" hidden="1" x14ac:dyDescent="0.25">
      <c r="A2" s="100" t="s">
        <v>1</v>
      </c>
      <c r="B2" s="177" t="s">
        <v>36</v>
      </c>
      <c r="C2" s="177" t="s">
        <v>37</v>
      </c>
      <c r="D2" s="177" t="s">
        <v>38</v>
      </c>
      <c r="E2" s="177" t="s">
        <v>39</v>
      </c>
      <c r="F2" s="177" t="s">
        <v>40</v>
      </c>
      <c r="G2" s="177" t="s">
        <v>41</v>
      </c>
      <c r="H2" s="177" t="s">
        <v>42</v>
      </c>
    </row>
    <row r="3" spans="1:15" hidden="1" x14ac:dyDescent="0.25">
      <c r="A3" s="36" t="s">
        <v>344</v>
      </c>
      <c r="B3" s="72">
        <f>'P&amp;L'!B36</f>
        <v>-0.32670907812500682</v>
      </c>
      <c r="C3" s="72">
        <f>'P&amp;L'!C36</f>
        <v>-0.17774165078124693</v>
      </c>
      <c r="D3" s="72">
        <f>'P&amp;L'!D36</f>
        <v>0.26466719988284182</v>
      </c>
      <c r="E3" s="72">
        <f>'P&amp;L'!E36</f>
        <v>0.36678201768948338</v>
      </c>
      <c r="F3" s="72">
        <f>'P&amp;L'!F36</f>
        <v>0.96837992599584943</v>
      </c>
      <c r="G3" s="72">
        <f>'P&amp;L'!G36</f>
        <v>1.5355950066705608</v>
      </c>
      <c r="H3" s="72">
        <f>'P&amp;L'!H36</f>
        <v>2.278138830441593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345</v>
      </c>
      <c r="B5" s="72">
        <f>'P&amp;L'!B32</f>
        <v>1.1164434999999999</v>
      </c>
      <c r="C5" s="72">
        <f>'P&amp;L'!C32</f>
        <v>1.1164434999999999</v>
      </c>
      <c r="D5" s="72">
        <f>'P&amp;L'!D32</f>
        <v>1.1164434999999999</v>
      </c>
      <c r="E5" s="72">
        <f>'P&amp;L'!E32</f>
        <v>1.1164434999999999</v>
      </c>
      <c r="F5" s="72">
        <f>'P&amp;L'!F32</f>
        <v>1.1164434999999999</v>
      </c>
      <c r="G5" s="72">
        <f>'P&amp;L'!G32</f>
        <v>1.1164434999999999</v>
      </c>
      <c r="H5" s="72">
        <f>'P&amp;L'!H32</f>
        <v>1.1164434999999999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4"/>
      <c r="M6" s="224"/>
      <c r="O6" s="120"/>
    </row>
    <row r="7" spans="1:15" hidden="1" x14ac:dyDescent="0.25">
      <c r="A7" s="36" t="s">
        <v>346</v>
      </c>
      <c r="B7" s="72">
        <f>'P&amp;L'!B27</f>
        <v>0.15877500000000003</v>
      </c>
      <c r="C7" s="72">
        <f>'P&amp;L'!C27</f>
        <v>0.15877500000000003</v>
      </c>
      <c r="D7" s="72">
        <f>'P&amp;L'!D27</f>
        <v>0.15877500000000003</v>
      </c>
      <c r="E7" s="72">
        <f>'P&amp;L'!E27</f>
        <v>0.15877500000000003</v>
      </c>
      <c r="F7" s="72">
        <f>'P&amp;L'!F27</f>
        <v>0.15877500000000003</v>
      </c>
      <c r="G7" s="72">
        <f>'P&amp;L'!G27</f>
        <v>0.15877500000000003</v>
      </c>
      <c r="H7" s="72">
        <f>'P&amp;L'!H27</f>
        <v>0.15877500000000003</v>
      </c>
      <c r="I7" s="1"/>
      <c r="J7" s="1"/>
      <c r="K7" s="1"/>
      <c r="L7" s="120"/>
      <c r="M7" s="224"/>
      <c r="O7" s="120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4"/>
      <c r="M8" s="224"/>
      <c r="O8" s="120"/>
    </row>
    <row r="9" spans="1:15" hidden="1" x14ac:dyDescent="0.25">
      <c r="A9" s="77" t="s">
        <v>429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347</v>
      </c>
      <c r="B11" s="72">
        <f>B3+B5+B7</f>
        <v>0.9485094218749931</v>
      </c>
      <c r="C11" s="72">
        <f t="shared" ref="C11:G11" si="0">C3+C5+C7</f>
        <v>1.097476849218753</v>
      </c>
      <c r="D11" s="72">
        <f t="shared" si="0"/>
        <v>1.5398856998828419</v>
      </c>
      <c r="E11" s="72">
        <f t="shared" si="0"/>
        <v>1.6420005176894834</v>
      </c>
      <c r="F11" s="72">
        <f t="shared" si="0"/>
        <v>2.2435984259958492</v>
      </c>
      <c r="G11" s="72">
        <f t="shared" si="0"/>
        <v>2.8108135066705606</v>
      </c>
      <c r="H11" s="72">
        <f>H3+H5+H7+H9</f>
        <v>3.5533573304415929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348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7" t="s">
        <v>430</v>
      </c>
      <c r="B15" s="44">
        <f t="shared" ref="B15:H15" si="2">B11*B13</f>
        <v>0.86228129261363007</v>
      </c>
      <c r="C15" s="44">
        <f t="shared" si="2"/>
        <v>0.907005660511366</v>
      </c>
      <c r="D15" s="44">
        <f t="shared" si="2"/>
        <v>1.1569389180186638</v>
      </c>
      <c r="E15" s="44">
        <f t="shared" si="2"/>
        <v>1.1215084472983288</v>
      </c>
      <c r="F15" s="44">
        <f t="shared" si="2"/>
        <v>1.3930981030827803</v>
      </c>
      <c r="G15" s="44">
        <f t="shared" si="2"/>
        <v>1.58663094675857</v>
      </c>
      <c r="H15" s="44">
        <f t="shared" si="2"/>
        <v>1.8234341610906943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431</v>
      </c>
      <c r="B17" s="9">
        <f>SUM(B15:H15)</f>
        <v>8.8508975293740342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4" t="s">
        <v>432</v>
      </c>
      <c r="B20" s="116">
        <f>'Project Glance'!B15</f>
        <v>35.29021510416667</v>
      </c>
      <c r="D20" s="116"/>
      <c r="E20" s="121"/>
      <c r="F20" s="121"/>
      <c r="G20" s="121"/>
      <c r="H20" s="121"/>
      <c r="I20" s="121"/>
      <c r="J20" s="121"/>
    </row>
    <row r="21" spans="1:11" hidden="1" x14ac:dyDescent="0.25">
      <c r="E21" s="38"/>
      <c r="F21" s="121"/>
      <c r="G21" s="121"/>
      <c r="H21" s="121"/>
      <c r="I21" s="121"/>
      <c r="J21" s="121"/>
    </row>
    <row r="22" spans="1:11" s="119" customFormat="1" hidden="1" x14ac:dyDescent="0.25">
      <c r="A22" s="178" t="s">
        <v>433</v>
      </c>
      <c r="B22" s="179">
        <f>B17-B20</f>
        <v>-26.439317574792636</v>
      </c>
    </row>
    <row r="23" spans="1:11" hidden="1" x14ac:dyDescent="0.25"/>
    <row r="24" spans="1:11" hidden="1" x14ac:dyDescent="0.25">
      <c r="A24" s="138" t="s">
        <v>349</v>
      </c>
      <c r="B24" s="140" t="e">
        <f>IRR(B11:H11)</f>
        <v>#NUM!</v>
      </c>
    </row>
    <row r="25" spans="1:11" hidden="1" x14ac:dyDescent="0.25">
      <c r="A25" s="119"/>
      <c r="B25" s="119"/>
    </row>
    <row r="26" spans="1:11" hidden="1" x14ac:dyDescent="0.25">
      <c r="A26" s="138" t="s">
        <v>439</v>
      </c>
      <c r="B26" s="139">
        <f>AVERAGE('P&amp;L'!B36:H36)/'Project Glance'!B23</f>
        <v>1.9872413590662344E-2</v>
      </c>
      <c r="D26" s="120"/>
    </row>
    <row r="28" spans="1:11" x14ac:dyDescent="0.25">
      <c r="A28" s="122" t="s">
        <v>1</v>
      </c>
      <c r="B28" s="122" t="s">
        <v>36</v>
      </c>
      <c r="C28" s="122" t="s">
        <v>37</v>
      </c>
      <c r="D28" s="122" t="s">
        <v>38</v>
      </c>
      <c r="E28" s="122" t="s">
        <v>39</v>
      </c>
      <c r="F28" s="122" t="s">
        <v>40</v>
      </c>
      <c r="G28" s="122" t="s">
        <v>41</v>
      </c>
      <c r="H28" s="122" t="s">
        <v>42</v>
      </c>
      <c r="I28" s="122" t="s">
        <v>490</v>
      </c>
      <c r="J28" s="122" t="s">
        <v>491</v>
      </c>
      <c r="K28" s="122" t="s">
        <v>492</v>
      </c>
    </row>
    <row r="29" spans="1:11" x14ac:dyDescent="0.25">
      <c r="A29" s="36" t="s">
        <v>344</v>
      </c>
      <c r="B29" s="72">
        <f>+'P&amp;L'!B36</f>
        <v>-0.32670907812500682</v>
      </c>
      <c r="C29" s="72">
        <f>+'P&amp;L'!C36</f>
        <v>-0.17774165078124693</v>
      </c>
      <c r="D29" s="72">
        <f>+'P&amp;L'!D36</f>
        <v>0.26466719988284182</v>
      </c>
      <c r="E29" s="72">
        <f>+'P&amp;L'!E36</f>
        <v>0.36678201768948338</v>
      </c>
      <c r="F29" s="72">
        <f>+'P&amp;L'!F36</f>
        <v>0.96837992599584943</v>
      </c>
      <c r="G29" s="72">
        <f>+'P&amp;L'!G36</f>
        <v>1.5355950066705608</v>
      </c>
      <c r="H29" s="72">
        <f>+'P&amp;L'!H36</f>
        <v>2.278138830441593</v>
      </c>
      <c r="I29" s="72">
        <f>+'P&amp;L'!I36</f>
        <v>3.1873572907136909</v>
      </c>
      <c r="J29" s="72">
        <f>+'P&amp;L'!J36</f>
        <v>3.8599448263770131</v>
      </c>
      <c r="K29" s="72">
        <f>+'P&amp;L'!K36</f>
        <v>3.629636995419717</v>
      </c>
    </row>
    <row r="30" spans="1:11" x14ac:dyDescent="0.25">
      <c r="A30" s="36" t="s">
        <v>351</v>
      </c>
      <c r="B30" s="72">
        <f>SUM(B36:B40)</f>
        <v>7.2433590781250006</v>
      </c>
      <c r="C30" s="72">
        <f t="shared" ref="C30:K30" si="3">SUM(C36:C40)</f>
        <v>7.584654150781251</v>
      </c>
      <c r="D30" s="72">
        <f t="shared" si="3"/>
        <v>7.9405328001171886</v>
      </c>
      <c r="E30" s="72">
        <f t="shared" si="3"/>
        <v>8.3341054823105463</v>
      </c>
      <c r="F30" s="72">
        <f t="shared" si="3"/>
        <v>8.7624200740042006</v>
      </c>
      <c r="G30" s="72">
        <f t="shared" si="3"/>
        <v>9.1804549933294108</v>
      </c>
      <c r="H30" s="72">
        <f t="shared" si="3"/>
        <v>9.6302611695583824</v>
      </c>
      <c r="I30" s="72">
        <f t="shared" si="3"/>
        <v>10.051942709286299</v>
      </c>
      <c r="J30" s="72">
        <f t="shared" si="3"/>
        <v>10.489718951000617</v>
      </c>
      <c r="K30" s="72">
        <f t="shared" si="3"/>
        <v>10.949370139175647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350</v>
      </c>
      <c r="B33" s="72">
        <f>SUM(B29:B32)</f>
        <v>6.9166499999999935</v>
      </c>
      <c r="C33" s="72">
        <f t="shared" ref="C33:K33" si="4">SUM(C29:C32)</f>
        <v>7.4069125000000042</v>
      </c>
      <c r="D33" s="72">
        <f t="shared" si="4"/>
        <v>8.2052000000000298</v>
      </c>
      <c r="E33" s="72">
        <f t="shared" si="4"/>
        <v>8.7008875000000288</v>
      </c>
      <c r="F33" s="72">
        <f t="shared" si="4"/>
        <v>9.7308000000000501</v>
      </c>
      <c r="G33" s="72">
        <f t="shared" si="4"/>
        <v>10.716049999999971</v>
      </c>
      <c r="H33" s="72">
        <f t="shared" si="4"/>
        <v>11.908399999999975</v>
      </c>
      <c r="I33" s="72">
        <f t="shared" si="4"/>
        <v>13.239299999999989</v>
      </c>
      <c r="J33" s="72">
        <f t="shared" si="4"/>
        <v>14.34966377737763</v>
      </c>
      <c r="K33" s="72">
        <f t="shared" si="4"/>
        <v>14.579007134595365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351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434</v>
      </c>
      <c r="B36" s="73">
        <f>'P&amp;L'!B23</f>
        <v>5.4423250000000003</v>
      </c>
      <c r="C36" s="73">
        <f>'P&amp;L'!C23</f>
        <v>5.7094412500000011</v>
      </c>
      <c r="D36" s="73">
        <f>'P&amp;L'!D23</f>
        <v>5.9899133125000006</v>
      </c>
      <c r="E36" s="73">
        <f>'P&amp;L'!E23</f>
        <v>6.2844089781250005</v>
      </c>
      <c r="F36" s="73">
        <f>'P&amp;L'!F23</f>
        <v>6.5936294270312512</v>
      </c>
      <c r="G36" s="73">
        <f>'P&amp;L'!G23</f>
        <v>6.9183108983828134</v>
      </c>
      <c r="H36" s="73">
        <f>'P&amp;L'!H23</f>
        <v>7.2592264433019551</v>
      </c>
      <c r="I36" s="73">
        <f>'P&amp;L'!I23</f>
        <v>7.6171877654670528</v>
      </c>
      <c r="J36" s="73">
        <f>'P&amp;L'!J23</f>
        <v>7.993047153740406</v>
      </c>
      <c r="K36" s="73">
        <f>'P&amp;L'!K23</f>
        <v>8.3876995114274262</v>
      </c>
    </row>
    <row r="37" spans="1:11" x14ac:dyDescent="0.25">
      <c r="A37" s="36" t="s">
        <v>435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436</v>
      </c>
      <c r="B38" s="73">
        <f>'P&amp;L'!B31</f>
        <v>0.52581557812500002</v>
      </c>
      <c r="C38" s="73">
        <f>'P&amp;L'!C31</f>
        <v>0.59999440078124999</v>
      </c>
      <c r="D38" s="73">
        <f>'P&amp;L'!D31</f>
        <v>0.67540098761718759</v>
      </c>
      <c r="E38" s="73">
        <f>'P&amp;L'!E31</f>
        <v>0.7744780041855468</v>
      </c>
      <c r="F38" s="73">
        <f>'P&amp;L'!F31</f>
        <v>0.8935721469729494</v>
      </c>
      <c r="G38" s="73">
        <f>'P&amp;L'!G31</f>
        <v>0.98692559494659671</v>
      </c>
      <c r="H38" s="73">
        <f>'P&amp;L'!H31</f>
        <v>1.0958162262564268</v>
      </c>
      <c r="I38" s="73">
        <f>'P&amp;L'!I31</f>
        <v>1.159536443819247</v>
      </c>
      <c r="J38" s="73">
        <f>'P&amp;L'!J31</f>
        <v>1.2214532972602103</v>
      </c>
      <c r="K38" s="73">
        <f>'P&amp;L'!K31</f>
        <v>1.286452127748221</v>
      </c>
    </row>
    <row r="39" spans="1:11" x14ac:dyDescent="0.25">
      <c r="A39" s="36" t="s">
        <v>356</v>
      </c>
      <c r="B39" s="73">
        <f>'P&amp;L'!B32</f>
        <v>1.1164434999999999</v>
      </c>
      <c r="C39" s="73">
        <f>'P&amp;L'!C32</f>
        <v>1.1164434999999999</v>
      </c>
      <c r="D39" s="73">
        <f>'P&amp;L'!D32</f>
        <v>1.1164434999999999</v>
      </c>
      <c r="E39" s="73">
        <f>'P&amp;L'!E32</f>
        <v>1.1164434999999999</v>
      </c>
      <c r="F39" s="73">
        <f>'P&amp;L'!F32</f>
        <v>1.1164434999999999</v>
      </c>
      <c r="G39" s="73">
        <f>'P&amp;L'!G32</f>
        <v>1.1164434999999999</v>
      </c>
      <c r="H39" s="73">
        <f>'P&amp;L'!H32</f>
        <v>1.1164434999999999</v>
      </c>
      <c r="I39" s="73">
        <f>'P&amp;L'!I32</f>
        <v>1.1164434999999999</v>
      </c>
      <c r="J39" s="73">
        <f>'P&amp;L'!J32</f>
        <v>1.1164434999999999</v>
      </c>
      <c r="K39" s="73">
        <f>'P&amp;L'!K32</f>
        <v>1.1164434999999999</v>
      </c>
    </row>
    <row r="40" spans="1:11" x14ac:dyDescent="0.25">
      <c r="A40" s="36" t="s">
        <v>437</v>
      </c>
      <c r="B40" s="73">
        <f>'P&amp;L'!B27</f>
        <v>0.15877500000000003</v>
      </c>
      <c r="C40" s="73">
        <f>'P&amp;L'!C27</f>
        <v>0.15877500000000003</v>
      </c>
      <c r="D40" s="73">
        <f>'P&amp;L'!D27</f>
        <v>0.15877500000000003</v>
      </c>
      <c r="E40" s="73">
        <f>'P&amp;L'!E27</f>
        <v>0.15877500000000003</v>
      </c>
      <c r="F40" s="73">
        <f>'P&amp;L'!F27</f>
        <v>0.15877500000000003</v>
      </c>
      <c r="G40" s="73">
        <f>'P&amp;L'!G27</f>
        <v>0.15877500000000003</v>
      </c>
      <c r="H40" s="73">
        <f>'P&amp;L'!H27</f>
        <v>0.15877500000000003</v>
      </c>
      <c r="I40" s="73">
        <f>'P&amp;L'!I27</f>
        <v>0.15877500000000003</v>
      </c>
      <c r="J40" s="73">
        <f>'P&amp;L'!J27</f>
        <v>0.15877500000000003</v>
      </c>
      <c r="K40" s="73">
        <f>'P&amp;L'!K27</f>
        <v>0.15877500000000003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352</v>
      </c>
      <c r="B42" s="123">
        <f>(B36+B37+B38+B39+B40)/B33</f>
        <v>1.0472351612594257</v>
      </c>
      <c r="C42" s="123">
        <f t="shared" ref="C42:K42" si="5">(C36+C37+C38+C39+C40)/C33</f>
        <v>1.0239967261367333</v>
      </c>
      <c r="D42" s="123">
        <f t="shared" si="5"/>
        <v>0.96774396725456535</v>
      </c>
      <c r="E42" s="123">
        <f t="shared" si="5"/>
        <v>0.95784544764088941</v>
      </c>
      <c r="F42" s="123">
        <f t="shared" si="5"/>
        <v>0.90048301003043485</v>
      </c>
      <c r="G42" s="123">
        <f t="shared" si="5"/>
        <v>0.85670139588089234</v>
      </c>
      <c r="H42" s="123">
        <f t="shared" si="5"/>
        <v>0.80869480111168601</v>
      </c>
      <c r="I42" s="123">
        <f t="shared" si="5"/>
        <v>0.75925031605041859</v>
      </c>
      <c r="J42" s="123">
        <f t="shared" si="5"/>
        <v>0.73100799529099425</v>
      </c>
      <c r="K42" s="123">
        <f t="shared" si="5"/>
        <v>0.75103675017712668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6" t="s">
        <v>353</v>
      </c>
      <c r="B44" s="137">
        <f>AVERAGE(B42:K42)</f>
        <v>0.88039955708331674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9"/>
      <c r="B45" s="119"/>
    </row>
    <row r="46" spans="1:11" hidden="1" x14ac:dyDescent="0.25">
      <c r="A46" s="138" t="s">
        <v>438</v>
      </c>
      <c r="B46" s="138"/>
    </row>
    <row r="47" spans="1:11" hidden="1" x14ac:dyDescent="0.25">
      <c r="A47" s="119"/>
      <c r="B47" s="119"/>
    </row>
    <row r="49" spans="1:11" x14ac:dyDescent="0.25">
      <c r="A49" s="15" t="s">
        <v>354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490</v>
      </c>
      <c r="J49" s="46" t="s">
        <v>491</v>
      </c>
      <c r="K49" s="46" t="s">
        <v>492</v>
      </c>
    </row>
    <row r="50" spans="1:11" x14ac:dyDescent="0.25">
      <c r="A50" s="36" t="s">
        <v>355</v>
      </c>
      <c r="B50" s="72">
        <f>'P&amp;L'!B36</f>
        <v>-0.32670907812500682</v>
      </c>
      <c r="C50" s="72">
        <f>'P&amp;L'!C36</f>
        <v>-0.17774165078124693</v>
      </c>
      <c r="D50" s="72">
        <f>'P&amp;L'!D36</f>
        <v>0.26466719988284182</v>
      </c>
      <c r="E50" s="72">
        <f>'P&amp;L'!E36</f>
        <v>0.36678201768948338</v>
      </c>
      <c r="F50" s="72">
        <f>'P&amp;L'!F36</f>
        <v>0.96837992599584943</v>
      </c>
      <c r="G50" s="72">
        <f>'P&amp;L'!G36</f>
        <v>1.5355950066705608</v>
      </c>
      <c r="H50" s="72">
        <f>'P&amp;L'!H36</f>
        <v>2.278138830441593</v>
      </c>
      <c r="I50" s="72">
        <f>'P&amp;L'!I36</f>
        <v>3.1873572907136909</v>
      </c>
      <c r="J50" s="72">
        <f>'P&amp;L'!J36</f>
        <v>3.8599448263770131</v>
      </c>
      <c r="K50" s="72">
        <f>'P&amp;L'!K36</f>
        <v>3.629636995419717</v>
      </c>
    </row>
    <row r="51" spans="1:11" x14ac:dyDescent="0.25">
      <c r="A51" s="36" t="s">
        <v>356</v>
      </c>
      <c r="B51" s="72">
        <f>'P&amp;L'!B32</f>
        <v>1.1164434999999999</v>
      </c>
      <c r="C51" s="72">
        <f>'P&amp;L'!C32</f>
        <v>1.1164434999999999</v>
      </c>
      <c r="D51" s="72">
        <f>'P&amp;L'!D32</f>
        <v>1.1164434999999999</v>
      </c>
      <c r="E51" s="72">
        <f>'P&amp;L'!E32</f>
        <v>1.1164434999999999</v>
      </c>
      <c r="F51" s="72">
        <f>'P&amp;L'!F32</f>
        <v>1.1164434999999999</v>
      </c>
      <c r="G51" s="72">
        <f>'P&amp;L'!G32</f>
        <v>1.1164434999999999</v>
      </c>
      <c r="H51" s="72">
        <f>'P&amp;L'!H32</f>
        <v>1.1164434999999999</v>
      </c>
      <c r="I51" s="72">
        <f>'P&amp;L'!I32</f>
        <v>1.1164434999999999</v>
      </c>
      <c r="J51" s="72">
        <f>'P&amp;L'!J32</f>
        <v>1.1164434999999999</v>
      </c>
      <c r="K51" s="72">
        <f>'P&amp;L'!K32</f>
        <v>1.1164434999999999</v>
      </c>
    </row>
    <row r="52" spans="1:11" x14ac:dyDescent="0.25">
      <c r="A52" s="36" t="s">
        <v>357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437</v>
      </c>
      <c r="B53" s="72">
        <f>'P&amp;L'!B27</f>
        <v>0.15877500000000003</v>
      </c>
      <c r="C53" s="72">
        <f>'P&amp;L'!C27</f>
        <v>0.15877500000000003</v>
      </c>
      <c r="D53" s="72">
        <f>'P&amp;L'!D27</f>
        <v>0.15877500000000003</v>
      </c>
      <c r="E53" s="72">
        <f>'P&amp;L'!E27</f>
        <v>0.15877500000000003</v>
      </c>
      <c r="F53" s="72">
        <f>'P&amp;L'!F27</f>
        <v>0.15877500000000003</v>
      </c>
      <c r="G53" s="72">
        <f>'P&amp;L'!G27</f>
        <v>0.15877500000000003</v>
      </c>
      <c r="H53" s="72">
        <f>'P&amp;L'!H27</f>
        <v>0.15877500000000003</v>
      </c>
      <c r="I53" s="72">
        <f>'P&amp;L'!I27</f>
        <v>0.15877500000000003</v>
      </c>
      <c r="J53" s="72">
        <f>'P&amp;L'!J27</f>
        <v>0.15877500000000003</v>
      </c>
      <c r="K53" s="72">
        <f>'P&amp;L'!K27</f>
        <v>0.15877500000000003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358</v>
      </c>
      <c r="B55" s="72">
        <f>SUM(B50:B54)</f>
        <v>0.9485094218749931</v>
      </c>
      <c r="C55" s="72">
        <f t="shared" ref="C55:H55" si="6">SUM(C50:C54)</f>
        <v>1.097476849218753</v>
      </c>
      <c r="D55" s="72">
        <f t="shared" si="6"/>
        <v>1.5398856998828419</v>
      </c>
      <c r="E55" s="72">
        <f t="shared" si="6"/>
        <v>1.6420005176894834</v>
      </c>
      <c r="F55" s="72">
        <f t="shared" si="6"/>
        <v>2.2435984259958492</v>
      </c>
      <c r="G55" s="72">
        <f t="shared" si="6"/>
        <v>2.8108135066705606</v>
      </c>
      <c r="H55" s="72">
        <f t="shared" si="6"/>
        <v>3.5533573304415929</v>
      </c>
      <c r="I55" s="72">
        <f t="shared" ref="I55:K55" si="7">SUM(I50:I54)</f>
        <v>4.4625757907136911</v>
      </c>
      <c r="J55" s="72">
        <f t="shared" si="7"/>
        <v>5.1351633263770129</v>
      </c>
      <c r="K55" s="72">
        <f t="shared" si="7"/>
        <v>4.9048554954197172</v>
      </c>
    </row>
    <row r="56" spans="1:11" x14ac:dyDescent="0.25">
      <c r="A56" s="36" t="s">
        <v>359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4" t="s">
        <v>354</v>
      </c>
      <c r="B58" s="125" t="e">
        <f>B55/B56</f>
        <v>#DIV/0!</v>
      </c>
      <c r="C58" s="125" t="e">
        <f t="shared" ref="C58:G58" si="8">C55/C56</f>
        <v>#DIV/0!</v>
      </c>
      <c r="D58" s="125" t="e">
        <f t="shared" si="8"/>
        <v>#DIV/0!</v>
      </c>
      <c r="E58" s="125" t="e">
        <f t="shared" si="8"/>
        <v>#DIV/0!</v>
      </c>
      <c r="F58" s="125" t="e">
        <f t="shared" si="8"/>
        <v>#DIV/0!</v>
      </c>
      <c r="G58" s="125" t="e">
        <f t="shared" si="8"/>
        <v>#DIV/0!</v>
      </c>
      <c r="H58" s="125">
        <v>0</v>
      </c>
      <c r="I58" s="125">
        <v>0</v>
      </c>
      <c r="J58" s="125">
        <v>0</v>
      </c>
      <c r="K58" s="125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4" t="s">
        <v>360</v>
      </c>
      <c r="B60" s="125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ax="59" man="1"/>
  </colBreaks>
  <cellWatches>
    <cellWatch r="B44"/>
  </cellWatch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87"/>
      <c r="E1" s="387"/>
      <c r="F1" s="387"/>
      <c r="G1" s="387"/>
      <c r="H1" s="387"/>
      <c r="I1" s="387"/>
      <c r="J1" s="388"/>
    </row>
    <row r="2" spans="1:10" x14ac:dyDescent="0.25">
      <c r="A2" s="192" t="s">
        <v>461</v>
      </c>
      <c r="B2" s="192" t="s">
        <v>1</v>
      </c>
      <c r="C2" s="193" t="s">
        <v>462</v>
      </c>
      <c r="D2" s="193" t="s">
        <v>468</v>
      </c>
      <c r="E2" s="193" t="s">
        <v>37</v>
      </c>
      <c r="F2" s="46" t="s">
        <v>38</v>
      </c>
      <c r="G2" s="193" t="s">
        <v>39</v>
      </c>
      <c r="H2" s="193" t="s">
        <v>40</v>
      </c>
      <c r="I2" s="46" t="s">
        <v>41</v>
      </c>
      <c r="J2" s="193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467</v>
      </c>
      <c r="C4" s="43">
        <v>1000</v>
      </c>
      <c r="D4" s="9">
        <f>'P&amp;L'!B36*100000/('Output Schedule'!B12+'Output Schedule'!B17)</f>
        <v>-121.00336226852104</v>
      </c>
      <c r="E4" s="9">
        <f>'P&amp;L'!C36*100000/('Output Schedule'!C12+'Output Schedule'!C17)</f>
        <v>-65.830241030091457</v>
      </c>
      <c r="F4" s="9">
        <f>'P&amp;L'!D36*100000/('Output Schedule'!D12+'Output Schedule'!D17)</f>
        <v>91.898333292653405</v>
      </c>
      <c r="G4" s="9">
        <f>'P&amp;L'!E36*100000/('Output Schedule'!E12+'Output Schedule'!E17)</f>
        <v>119.86340447368738</v>
      </c>
      <c r="H4" s="9">
        <f>'P&amp;L'!F36*100000/('Output Schedule'!F12+'Output Schedule'!F17)</f>
        <v>298.88269320859553</v>
      </c>
      <c r="I4" s="9">
        <f>'P&amp;L'!G36*100000/('Output Schedule'!G12+'Output Schedule'!G17)</f>
        <v>449.00438791536862</v>
      </c>
      <c r="J4" s="9">
        <f>'P&amp;L'!H36*100000/('Output Schedule'!H12+'Output Schedule'!H17)</f>
        <v>632.81634178933132</v>
      </c>
    </row>
    <row r="5" spans="1:10" x14ac:dyDescent="0.25">
      <c r="A5" s="6"/>
      <c r="B5" s="83" t="s">
        <v>481</v>
      </c>
      <c r="C5" s="190"/>
      <c r="D5" s="11">
        <f>D4</f>
        <v>-121.00336226852104</v>
      </c>
      <c r="E5" s="11">
        <f t="shared" ref="E5:J5" si="0">E4</f>
        <v>-65.830241030091457</v>
      </c>
      <c r="F5" s="11">
        <f t="shared" si="0"/>
        <v>91.898333292653405</v>
      </c>
      <c r="G5" s="11">
        <f t="shared" si="0"/>
        <v>119.86340447368738</v>
      </c>
      <c r="H5" s="11">
        <f t="shared" si="0"/>
        <v>298.88269320859553</v>
      </c>
      <c r="I5" s="11">
        <f t="shared" si="0"/>
        <v>449.00438791536862</v>
      </c>
      <c r="J5" s="11">
        <f t="shared" si="0"/>
        <v>632.81634178933132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4"/>
      <c r="B7" s="195"/>
      <c r="C7" s="196"/>
      <c r="D7" s="197"/>
      <c r="E7" s="197"/>
      <c r="F7" s="197"/>
      <c r="G7" s="197"/>
      <c r="H7" s="197"/>
      <c r="I7" s="197"/>
      <c r="J7" s="197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8"/>
      <c r="B9" s="199" t="s">
        <v>463</v>
      </c>
      <c r="C9" s="200"/>
      <c r="D9" s="198"/>
      <c r="E9" s="198"/>
      <c r="F9" s="198"/>
      <c r="G9" s="198"/>
      <c r="H9" s="198"/>
      <c r="I9" s="198"/>
      <c r="J9" s="198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464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2" t="s">
        <v>465</v>
      </c>
      <c r="C12" s="43"/>
      <c r="D12" s="11">
        <f>D5*0.6</f>
        <v>-72.60201736111263</v>
      </c>
      <c r="E12" s="11">
        <f t="shared" ref="E12:J12" si="1">E5*0.6</f>
        <v>-39.498144618054873</v>
      </c>
      <c r="F12" s="11">
        <f t="shared" si="1"/>
        <v>55.138999975592043</v>
      </c>
      <c r="G12" s="11">
        <f t="shared" si="1"/>
        <v>71.918042684212423</v>
      </c>
      <c r="H12" s="11">
        <f t="shared" si="1"/>
        <v>179.3296159251573</v>
      </c>
      <c r="I12" s="11">
        <f t="shared" si="1"/>
        <v>269.40263274922114</v>
      </c>
      <c r="J12" s="11">
        <f t="shared" si="1"/>
        <v>379.68980507359879</v>
      </c>
    </row>
    <row r="13" spans="1:10" x14ac:dyDescent="0.25">
      <c r="A13" s="6"/>
      <c r="B13" s="202" t="s">
        <v>466</v>
      </c>
      <c r="C13" s="43"/>
      <c r="D13" s="11">
        <f>D5*0.4</f>
        <v>-48.401344907408422</v>
      </c>
      <c r="E13" s="11">
        <f t="shared" ref="E13:J13" si="2">E5*0.4</f>
        <v>-26.332096412036584</v>
      </c>
      <c r="F13" s="11">
        <f t="shared" si="2"/>
        <v>36.759333317061362</v>
      </c>
      <c r="G13" s="11">
        <f t="shared" si="2"/>
        <v>47.945361789474958</v>
      </c>
      <c r="H13" s="11">
        <f t="shared" si="2"/>
        <v>119.55307728343821</v>
      </c>
      <c r="I13" s="11">
        <f t="shared" si="2"/>
        <v>179.60175516614746</v>
      </c>
      <c r="J13" s="11">
        <f t="shared" si="2"/>
        <v>253.12653671573253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4" t="s">
        <v>1</v>
      </c>
      <c r="B1" s="191" t="s">
        <v>36</v>
      </c>
      <c r="C1" s="191" t="s">
        <v>37</v>
      </c>
      <c r="D1" s="191" t="s">
        <v>38</v>
      </c>
      <c r="E1" s="191" t="s">
        <v>39</v>
      </c>
      <c r="F1" s="191" t="s">
        <v>40</v>
      </c>
      <c r="G1" s="191" t="s">
        <v>41</v>
      </c>
      <c r="H1" s="191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469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470</v>
      </c>
      <c r="B4" s="205">
        <f>'Output Schedule'!B12+'Output Schedule'!B17</f>
        <v>270</v>
      </c>
      <c r="C4" s="205">
        <f>'Output Schedule'!C12+'Output Schedule'!C17</f>
        <v>270</v>
      </c>
      <c r="D4" s="205">
        <f>'Output Schedule'!D12+'Output Schedule'!D17</f>
        <v>288</v>
      </c>
      <c r="E4" s="205">
        <f>'Output Schedule'!E12+'Output Schedule'!E17</f>
        <v>306</v>
      </c>
      <c r="F4" s="205">
        <f>'Output Schedule'!F12+'Output Schedule'!F17</f>
        <v>324</v>
      </c>
      <c r="G4" s="205">
        <f>'Output Schedule'!G12+'Output Schedule'!G17</f>
        <v>342</v>
      </c>
      <c r="H4" s="205">
        <f>'Output Schedule'!H12+'Output Schedule'!H17</f>
        <v>360.00000000000006</v>
      </c>
    </row>
    <row r="5" spans="1:8" x14ac:dyDescent="0.25">
      <c r="A5" s="10" t="s">
        <v>471</v>
      </c>
      <c r="B5" s="19">
        <f>'[2]Prices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483</v>
      </c>
      <c r="B6" s="9">
        <f t="shared" ref="B6:H6" si="0">B4/$B$5</f>
        <v>54.888888888888893</v>
      </c>
      <c r="C6" s="9">
        <f t="shared" si="0"/>
        <v>54.888888888888893</v>
      </c>
      <c r="D6" s="9">
        <f t="shared" si="0"/>
        <v>58.548148148148151</v>
      </c>
      <c r="E6" s="9">
        <f t="shared" si="0"/>
        <v>62.207407407407409</v>
      </c>
      <c r="F6" s="9">
        <f t="shared" si="0"/>
        <v>65.866666666666674</v>
      </c>
      <c r="G6" s="9">
        <f t="shared" si="0"/>
        <v>69.525925925925932</v>
      </c>
      <c r="H6" s="9">
        <f t="shared" si="0"/>
        <v>73.185185185185205</v>
      </c>
    </row>
    <row r="7" spans="1:8" x14ac:dyDescent="0.25">
      <c r="A7" s="10" t="s">
        <v>484</v>
      </c>
      <c r="B7" s="9">
        <f>B6/2.47</f>
        <v>22.222222222222221</v>
      </c>
      <c r="C7" s="9">
        <f t="shared" ref="C7:H7" si="1">C6/2.47</f>
        <v>22.222222222222221</v>
      </c>
      <c r="D7" s="9">
        <f t="shared" si="1"/>
        <v>23.703703703703702</v>
      </c>
      <c r="E7" s="9">
        <f t="shared" si="1"/>
        <v>25.185185185185183</v>
      </c>
      <c r="F7" s="9">
        <f t="shared" si="1"/>
        <v>26.666666666666668</v>
      </c>
      <c r="G7" s="9">
        <f t="shared" si="1"/>
        <v>28.148148148148149</v>
      </c>
      <c r="H7" s="9">
        <f t="shared" si="1"/>
        <v>29.629629629629637</v>
      </c>
    </row>
    <row r="8" spans="1:8" ht="30" x14ac:dyDescent="0.25">
      <c r="A8" s="206" t="s">
        <v>485</v>
      </c>
      <c r="B8" s="207">
        <f>ROUND(B7,0)</f>
        <v>22</v>
      </c>
      <c r="C8" s="207">
        <f t="shared" ref="C8:H8" si="2">ROUND(C7,0)</f>
        <v>22</v>
      </c>
      <c r="D8" s="207">
        <f t="shared" si="2"/>
        <v>24</v>
      </c>
      <c r="E8" s="207">
        <f t="shared" si="2"/>
        <v>25</v>
      </c>
      <c r="F8" s="207">
        <f t="shared" si="2"/>
        <v>27</v>
      </c>
      <c r="G8" s="207">
        <f t="shared" si="2"/>
        <v>28</v>
      </c>
      <c r="H8" s="207">
        <f t="shared" si="2"/>
        <v>30</v>
      </c>
    </row>
    <row r="9" spans="1:8" ht="30" x14ac:dyDescent="0.25">
      <c r="A9" s="206" t="s">
        <v>486</v>
      </c>
      <c r="B9" s="208">
        <f>'Benefit-FPO-Producer'!D13</f>
        <v>-48.401344907408422</v>
      </c>
      <c r="C9" s="208">
        <f>'Benefit-FPO-Producer'!E13</f>
        <v>-26.332096412036584</v>
      </c>
      <c r="D9" s="208">
        <f>'Benefit-FPO-Producer'!F13</f>
        <v>36.759333317061362</v>
      </c>
      <c r="E9" s="208">
        <f>'Benefit-FPO-Producer'!G13</f>
        <v>47.945361789474958</v>
      </c>
      <c r="F9" s="208">
        <f>'Benefit-FPO-Producer'!H13</f>
        <v>119.55307728343821</v>
      </c>
      <c r="G9" s="208">
        <f>'Benefit-FPO-Producer'!I13</f>
        <v>179.60175516614746</v>
      </c>
      <c r="H9" s="208">
        <f>'Benefit-FPO-Producer'!J13</f>
        <v>253.12653671573253</v>
      </c>
    </row>
    <row r="10" spans="1:8" ht="30.75" customHeight="1" x14ac:dyDescent="0.25">
      <c r="A10" s="203" t="s">
        <v>472</v>
      </c>
      <c r="B10" s="209">
        <f>B9*B4/100000</f>
        <v>-0.13068363125000274</v>
      </c>
      <c r="C10" s="209">
        <f t="shared" ref="C10:H10" si="3">C9*C4/100000</f>
        <v>-7.1096660312498783E-2</v>
      </c>
      <c r="D10" s="209">
        <f t="shared" si="3"/>
        <v>0.10586687995313672</v>
      </c>
      <c r="E10" s="209">
        <f t="shared" si="3"/>
        <v>0.14671280707579337</v>
      </c>
      <c r="F10" s="209">
        <f t="shared" si="3"/>
        <v>0.38735197039833985</v>
      </c>
      <c r="G10" s="209">
        <f t="shared" si="3"/>
        <v>0.61423800266822426</v>
      </c>
      <c r="H10" s="209">
        <f t="shared" si="3"/>
        <v>0.91125553217663724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10" t="s">
        <v>479</v>
      </c>
      <c r="B12" s="211">
        <f>'Benefit-FPO-Producer'!D12</f>
        <v>-72.60201736111263</v>
      </c>
      <c r="C12" s="211">
        <f>'Benefit-FPO-Producer'!E12</f>
        <v>-39.498144618054873</v>
      </c>
      <c r="D12" s="211">
        <f>'Benefit-FPO-Producer'!F12</f>
        <v>55.138999975592043</v>
      </c>
      <c r="E12" s="211">
        <f>'Benefit-FPO-Producer'!G12</f>
        <v>71.918042684212423</v>
      </c>
      <c r="F12" s="211">
        <f>'Benefit-FPO-Producer'!H12</f>
        <v>179.3296159251573</v>
      </c>
      <c r="G12" s="211">
        <f>'Benefit-FPO-Producer'!I12</f>
        <v>269.40263274922114</v>
      </c>
      <c r="H12" s="211">
        <f>'Benefit-FPO-Producer'!J12</f>
        <v>379.68980507359879</v>
      </c>
    </row>
    <row r="13" spans="1:8" ht="30" x14ac:dyDescent="0.25">
      <c r="A13" s="212" t="s">
        <v>473</v>
      </c>
      <c r="B13" s="211">
        <f t="shared" ref="B13:H13" si="4">B4*B12/100000</f>
        <v>-0.19602544687500409</v>
      </c>
      <c r="C13" s="211">
        <f t="shared" si="4"/>
        <v>-0.10664499046874816</v>
      </c>
      <c r="D13" s="211">
        <f t="shared" si="4"/>
        <v>0.15880031992970509</v>
      </c>
      <c r="E13" s="211">
        <f t="shared" si="4"/>
        <v>0.22006921061369</v>
      </c>
      <c r="F13" s="211">
        <f t="shared" si="4"/>
        <v>0.58102795559750964</v>
      </c>
      <c r="G13" s="211">
        <f t="shared" si="4"/>
        <v>0.92135700400233633</v>
      </c>
      <c r="H13" s="211">
        <f t="shared" si="4"/>
        <v>1.3668832982649559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3"/>
      <c r="B15" s="214"/>
      <c r="C15" s="214"/>
      <c r="D15" s="214"/>
      <c r="E15" s="214"/>
      <c r="F15" s="214"/>
      <c r="G15" s="214"/>
      <c r="H15" s="214"/>
    </row>
    <row r="16" spans="1:8" ht="30" x14ac:dyDescent="0.25">
      <c r="A16" s="213" t="s">
        <v>480</v>
      </c>
      <c r="B16" s="214">
        <f>B13+B10</f>
        <v>-0.32670907812500682</v>
      </c>
      <c r="C16" s="214">
        <f t="shared" ref="C16:H16" si="5">C13+C10</f>
        <v>-0.17774165078124693</v>
      </c>
      <c r="D16" s="214">
        <f t="shared" si="5"/>
        <v>0.26466719988284182</v>
      </c>
      <c r="E16" s="214">
        <f t="shared" si="5"/>
        <v>0.36678201768948338</v>
      </c>
      <c r="F16" s="214">
        <f t="shared" si="5"/>
        <v>0.96837992599584943</v>
      </c>
      <c r="G16" s="214">
        <f t="shared" si="5"/>
        <v>1.5355950066705606</v>
      </c>
      <c r="H16" s="214">
        <f t="shared" si="5"/>
        <v>2.278138830441593</v>
      </c>
    </row>
    <row r="17" spans="1:8" x14ac:dyDescent="0.25">
      <c r="A17" s="215" t="s">
        <v>474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475</v>
      </c>
      <c r="B18" s="45">
        <f>B16*B17</f>
        <v>-0.29973309919725394</v>
      </c>
      <c r="C18" s="45">
        <f t="shared" ref="C18:H18" si="7">C16*C17</f>
        <v>-0.14960159143274718</v>
      </c>
      <c r="D18" s="45">
        <f t="shared" si="7"/>
        <v>0.20437163946355005</v>
      </c>
      <c r="E18" s="45">
        <f t="shared" si="7"/>
        <v>0.25983762829659085</v>
      </c>
      <c r="F18" s="45">
        <f t="shared" si="7"/>
        <v>0.62938050776597143</v>
      </c>
      <c r="G18" s="45">
        <f t="shared" si="7"/>
        <v>0.91562512979652677</v>
      </c>
      <c r="H18" s="45">
        <f t="shared" si="7"/>
        <v>1.2462199547588546</v>
      </c>
    </row>
    <row r="19" spans="1:8" s="3" customFormat="1" ht="30" x14ac:dyDescent="0.25">
      <c r="A19" s="213" t="s">
        <v>476</v>
      </c>
      <c r="B19" s="11">
        <f>SUM(B18:H18)</f>
        <v>2.8061001694514927</v>
      </c>
      <c r="C19" s="8"/>
      <c r="D19" s="8"/>
      <c r="E19" s="8"/>
      <c r="F19" s="8"/>
      <c r="G19" s="8"/>
      <c r="H19" s="8"/>
    </row>
    <row r="20" spans="1:8" x14ac:dyDescent="0.25">
      <c r="A20" s="10" t="s">
        <v>477</v>
      </c>
      <c r="B20" s="45">
        <f>'BEP &amp; DSCR'!B20</f>
        <v>35.29021510416667</v>
      </c>
      <c r="C20" s="6"/>
      <c r="D20" s="6"/>
      <c r="E20" s="6"/>
      <c r="F20" s="6"/>
      <c r="G20" s="6"/>
      <c r="H20" s="6"/>
    </row>
    <row r="21" spans="1:8" ht="33.75" customHeight="1" x14ac:dyDescent="0.25">
      <c r="A21" s="203" t="s">
        <v>482</v>
      </c>
      <c r="B21" s="201">
        <f>B19-B20</f>
        <v>-32.48411493471518</v>
      </c>
      <c r="C21" s="6"/>
      <c r="D21" s="6"/>
      <c r="E21" s="6"/>
      <c r="F21" s="6"/>
      <c r="G21" s="6"/>
      <c r="H21" s="6"/>
    </row>
    <row r="22" spans="1:8" x14ac:dyDescent="0.25">
      <c r="A22" s="203" t="s">
        <v>478</v>
      </c>
      <c r="B22" s="217">
        <f>IRR(A24:H24)</f>
        <v>-0.2657392756214596</v>
      </c>
      <c r="C22" s="6"/>
      <c r="D22" s="6"/>
      <c r="E22" s="6"/>
      <c r="F22" s="6"/>
      <c r="G22" s="6"/>
      <c r="H22" s="6"/>
    </row>
    <row r="24" spans="1:8" x14ac:dyDescent="0.25">
      <c r="A24" s="216">
        <f>-B20</f>
        <v>-35.29021510416667</v>
      </c>
      <c r="B24" s="25">
        <f>B16</f>
        <v>-0.32670907812500682</v>
      </c>
      <c r="C24" s="25">
        <f t="shared" ref="C24:H24" si="8">C16</f>
        <v>-0.17774165078124693</v>
      </c>
      <c r="D24" s="25">
        <f t="shared" si="8"/>
        <v>0.26466719988284182</v>
      </c>
      <c r="E24" s="25">
        <f t="shared" si="8"/>
        <v>0.36678201768948338</v>
      </c>
      <c r="F24" s="25">
        <f t="shared" si="8"/>
        <v>0.96837992599584943</v>
      </c>
      <c r="G24" s="25">
        <f t="shared" si="8"/>
        <v>1.5355950066705606</v>
      </c>
      <c r="H24" s="25">
        <f t="shared" si="8"/>
        <v>2.278138830441593</v>
      </c>
    </row>
    <row r="26" spans="1:8" x14ac:dyDescent="0.25">
      <c r="B26" s="8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49" t="s">
        <v>1</v>
      </c>
      <c r="B1" s="249" t="s">
        <v>193</v>
      </c>
      <c r="C1" s="249" t="s">
        <v>206</v>
      </c>
      <c r="D1" s="249" t="s">
        <v>219</v>
      </c>
      <c r="E1" s="249" t="s">
        <v>232</v>
      </c>
      <c r="F1" s="249" t="s">
        <v>245</v>
      </c>
      <c r="G1" s="249" t="s">
        <v>258</v>
      </c>
    </row>
    <row r="2" spans="1:7" x14ac:dyDescent="0.25">
      <c r="A2" s="250" t="s">
        <v>545</v>
      </c>
      <c r="B2" s="251">
        <f>'P&amp;L'!B9</f>
        <v>110.48125</v>
      </c>
      <c r="C2" s="251">
        <f>'P&amp;L'!C9</f>
        <v>120.5728125</v>
      </c>
      <c r="D2" s="251">
        <f>'P&amp;L'!D9</f>
        <v>134.989</v>
      </c>
      <c r="E2" s="251">
        <f>'P&amp;L'!E9</f>
        <v>149.2190875</v>
      </c>
      <c r="F2" s="251">
        <f>'P&amp;L'!F9</f>
        <v>166.35450000000003</v>
      </c>
      <c r="G2" s="251">
        <f>'P&amp;L'!G9</f>
        <v>185.30919999999998</v>
      </c>
    </row>
    <row r="3" spans="1:7" x14ac:dyDescent="0.25">
      <c r="A3" s="250" t="s">
        <v>551</v>
      </c>
      <c r="B3" s="251">
        <f>'P&amp;L'!B14-'P&amp;L'!B9</f>
        <v>4.3499999999999943</v>
      </c>
      <c r="C3" s="251">
        <f>'P&amp;L'!C14-'P&amp;L'!C9</f>
        <v>0.21750000000000114</v>
      </c>
      <c r="D3" s="251">
        <f>'P&amp;L'!D14-'P&amp;L'!D9</f>
        <v>0.2283000000000186</v>
      </c>
      <c r="E3" s="251">
        <f>'P&amp;L'!E14-'P&amp;L'!E9</f>
        <v>1.2239000000000146</v>
      </c>
      <c r="F3" s="251">
        <f>'P&amp;L'!F14-'P&amp;L'!F9</f>
        <v>1.4558000000000106</v>
      </c>
      <c r="G3" s="251">
        <f>'P&amp;L'!G14-'P&amp;L'!G9</f>
        <v>0.37389999999999191</v>
      </c>
    </row>
    <row r="4" spans="1:7" x14ac:dyDescent="0.25">
      <c r="A4" s="250" t="s">
        <v>546</v>
      </c>
      <c r="B4" s="252">
        <f>'P&amp;L'!B21+'P&amp;L'!B23+'P&amp;L'!B25-'Opex Schedule'!C18</f>
        <v>110.55092500000001</v>
      </c>
      <c r="C4" s="252">
        <f>'P&amp;L'!C21+'P&amp;L'!C23+'P&amp;L'!C25-'Opex Schedule'!D18</f>
        <v>116.15154124999999</v>
      </c>
      <c r="D4" s="252">
        <f>'P&amp;L'!D21+'P&amp;L'!D23+'P&amp;L'!D25-'Opex Schedule'!E18</f>
        <v>129.91864831250001</v>
      </c>
      <c r="E4" s="252">
        <f>'P&amp;L'!E21+'P&amp;L'!E23+'P&amp;L'!E25-'Opex Schedule'!F18</f>
        <v>144.79397572812502</v>
      </c>
      <c r="F4" s="252">
        <f>'P&amp;L'!F21+'P&amp;L'!F23+'P&amp;L'!F25-'Opex Schedule'!G18</f>
        <v>161.28396951453126</v>
      </c>
      <c r="G4" s="252">
        <f>'P&amp;L'!G21+'P&amp;L'!G23+'P&amp;L'!G25-'Opex Schedule'!H18</f>
        <v>178.33174299025779</v>
      </c>
    </row>
    <row r="5" spans="1:7" x14ac:dyDescent="0.25">
      <c r="A5" s="250" t="s">
        <v>547</v>
      </c>
      <c r="B5" s="252">
        <f>B2-B4</f>
        <v>-6.9675000000003706E-2</v>
      </c>
      <c r="C5" s="252">
        <f t="shared" ref="C5:G5" si="0">C2-C4</f>
        <v>4.4212712500000038</v>
      </c>
      <c r="D5" s="252">
        <f t="shared" si="0"/>
        <v>5.0703516874999934</v>
      </c>
      <c r="E5" s="252">
        <f t="shared" si="0"/>
        <v>4.4251117718749811</v>
      </c>
      <c r="F5" s="252">
        <f t="shared" si="0"/>
        <v>5.0705304854687654</v>
      </c>
      <c r="G5" s="252">
        <f t="shared" si="0"/>
        <v>6.9774570097421815</v>
      </c>
    </row>
    <row r="6" spans="1:7" x14ac:dyDescent="0.25">
      <c r="A6" s="250" t="s">
        <v>548</v>
      </c>
      <c r="B6" s="251">
        <f>'P&amp;L'!B29+'P&amp;L'!B27</f>
        <v>1.4743249999999932</v>
      </c>
      <c r="C6" s="251">
        <f>'P&amp;L'!C29+'P&amp;L'!C27</f>
        <v>1.6974712500000031</v>
      </c>
      <c r="D6" s="251">
        <f>'P&amp;L'!D29+'P&amp;L'!D27</f>
        <v>2.2152866875000292</v>
      </c>
      <c r="E6" s="251">
        <f>'P&amp;L'!E29+'P&amp;L'!E27</f>
        <v>2.41647852187503</v>
      </c>
      <c r="F6" s="251">
        <f>'P&amp;L'!F29+'P&amp;L'!F27</f>
        <v>3.1371705729687989</v>
      </c>
      <c r="G6" s="251">
        <f>'P&amp;L'!G29+'P&amp;L'!G27</f>
        <v>3.7977391016171573</v>
      </c>
    </row>
    <row r="7" spans="1:7" x14ac:dyDescent="0.25">
      <c r="A7" s="250" t="s">
        <v>549</v>
      </c>
      <c r="B7" s="251">
        <f>'P&amp;L'!B34</f>
        <v>-0.32670907812500682</v>
      </c>
      <c r="C7" s="251">
        <f>'P&amp;L'!C34</f>
        <v>-0.17774165078124693</v>
      </c>
      <c r="D7" s="251">
        <f>'P&amp;L'!D34</f>
        <v>0.26466719988284182</v>
      </c>
      <c r="E7" s="251">
        <f>'P&amp;L'!E34</f>
        <v>0.36678201768948338</v>
      </c>
      <c r="F7" s="251">
        <f>'P&amp;L'!F34</f>
        <v>0.96837992599584943</v>
      </c>
      <c r="G7" s="251">
        <f>'P&amp;L'!G34</f>
        <v>1.5355950066705608</v>
      </c>
    </row>
    <row r="8" spans="1:7" x14ac:dyDescent="0.25">
      <c r="A8" s="250" t="s">
        <v>550</v>
      </c>
      <c r="B8" s="251">
        <f>'P&amp;L'!B36</f>
        <v>-0.32670907812500682</v>
      </c>
      <c r="C8" s="251">
        <f>'P&amp;L'!C36</f>
        <v>-0.17774165078124693</v>
      </c>
      <c r="D8" s="251">
        <f>'P&amp;L'!D36</f>
        <v>0.26466719988284182</v>
      </c>
      <c r="E8" s="251">
        <f>'P&amp;L'!E36</f>
        <v>0.36678201768948338</v>
      </c>
      <c r="F8" s="251">
        <f>'P&amp;L'!F36</f>
        <v>0.96837992599584943</v>
      </c>
      <c r="G8" s="251">
        <f>'P&amp;L'!G36</f>
        <v>1.5355950066705608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="85" zoomScaleNormal="100" zoomScaleSheetLayoutView="85" workbookViewId="0">
      <selection activeCell="A2" sqref="A2:K52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89" t="s">
        <v>558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s="270" customFormat="1" x14ac:dyDescent="0.25">
      <c r="A2" s="258" t="s">
        <v>559</v>
      </c>
      <c r="B2" s="258" t="s">
        <v>560</v>
      </c>
      <c r="C2" s="258" t="s">
        <v>561</v>
      </c>
      <c r="D2" s="258" t="s">
        <v>562</v>
      </c>
      <c r="E2" s="258" t="s">
        <v>563</v>
      </c>
      <c r="F2" s="258" t="s">
        <v>564</v>
      </c>
      <c r="G2" s="258" t="s">
        <v>573</v>
      </c>
      <c r="H2" s="258" t="s">
        <v>574</v>
      </c>
      <c r="I2" s="258" t="s">
        <v>575</v>
      </c>
      <c r="J2" s="258" t="s">
        <v>576</v>
      </c>
      <c r="K2" s="258" t="s">
        <v>577</v>
      </c>
    </row>
    <row r="3" spans="1:11" x14ac:dyDescent="0.25">
      <c r="A3" s="255" t="str">
        <f>'P&amp;L'!A5</f>
        <v xml:space="preserve">Revenue from Sale </v>
      </c>
      <c r="B3" s="268">
        <f>+'P&amp;L'!B5*1.1</f>
        <v>117.26000000000002</v>
      </c>
      <c r="C3" s="268">
        <f>+'P&amp;L'!C5*1.1</f>
        <v>128.14725000000001</v>
      </c>
      <c r="D3" s="268">
        <f>+'P&amp;L'!D5*1.1</f>
        <v>143.46662000000003</v>
      </c>
      <c r="E3" s="268">
        <f>+'P&amp;L'!E5*1.1</f>
        <v>158.53871000000001</v>
      </c>
      <c r="F3" s="268">
        <f>+'P&amp;L'!F5*1.1</f>
        <v>176.76186000000004</v>
      </c>
      <c r="G3" s="268">
        <f>+'P&amp;L'!G5*1.1</f>
        <v>197.25661999999997</v>
      </c>
      <c r="H3" s="268">
        <f>+'P&amp;L'!H5*1.1</f>
        <v>218.91342000000003</v>
      </c>
      <c r="I3" s="268">
        <f>+'P&amp;L'!I5*1.1</f>
        <v>229.86446999999998</v>
      </c>
      <c r="J3" s="268">
        <f>+'P&amp;L'!J5*1.1</f>
        <v>241.36013000000003</v>
      </c>
      <c r="K3" s="268">
        <f>+'P&amp;L'!K5*1.1</f>
        <v>253.42966000000004</v>
      </c>
    </row>
    <row r="4" spans="1:11" x14ac:dyDescent="0.25">
      <c r="A4" s="255" t="str">
        <f>'P&amp;L'!A6</f>
        <v>Revenue- Service Charges - Dal Milling</v>
      </c>
      <c r="B4" s="268">
        <f>+'P&amp;L'!B6*1.1</f>
        <v>4.2693750000000001</v>
      </c>
      <c r="C4" s="268">
        <f>+'P&amp;L'!C6</f>
        <v>4.0753124999999999</v>
      </c>
      <c r="D4" s="268">
        <f>+'P&amp;L'!D6</f>
        <v>4.5648</v>
      </c>
      <c r="E4" s="268">
        <f>+'P&amp;L'!E6</f>
        <v>5.0929875000000004</v>
      </c>
      <c r="F4" s="268">
        <f>+'P&amp;L'!F6</f>
        <v>5.661900000000001</v>
      </c>
      <c r="G4" s="268">
        <f>+'P&amp;L'!G6</f>
        <v>5.9850000000000012</v>
      </c>
      <c r="H4" s="268">
        <f>+'P&amp;L'!H6</f>
        <v>6.3000000000000016</v>
      </c>
      <c r="I4" s="268">
        <f>+'P&amp;L'!I6</f>
        <v>6.3000000000000016</v>
      </c>
      <c r="J4" s="268">
        <f>+'P&amp;L'!J6</f>
        <v>6.3000000000000016</v>
      </c>
      <c r="K4" s="268">
        <f>+'P&amp;L'!K6*1.1</f>
        <v>6.9300000000000024</v>
      </c>
    </row>
    <row r="5" spans="1:11" hidden="1" x14ac:dyDescent="0.25">
      <c r="A5" s="255" t="str">
        <f>'P&amp;L'!A8</f>
        <v>Revenue from Weigh Bridge operation</v>
      </c>
      <c r="B5" s="268">
        <f>+'P&amp;L'!B8</f>
        <v>0</v>
      </c>
      <c r="C5" s="268">
        <f>+'P&amp;L'!C8</f>
        <v>0</v>
      </c>
      <c r="D5" s="268">
        <f>+'P&amp;L'!D8</f>
        <v>0</v>
      </c>
      <c r="E5" s="268">
        <f>+'P&amp;L'!E8</f>
        <v>0</v>
      </c>
      <c r="F5" s="268">
        <f>+'P&amp;L'!F8</f>
        <v>0</v>
      </c>
      <c r="G5" s="268">
        <f>+'P&amp;L'!G8</f>
        <v>0</v>
      </c>
      <c r="H5" s="268">
        <f>+'P&amp;L'!H8</f>
        <v>0</v>
      </c>
      <c r="I5" s="268">
        <f>+'P&amp;L'!I8</f>
        <v>0</v>
      </c>
      <c r="J5" s="268">
        <f>+'P&amp;L'!J8</f>
        <v>0</v>
      </c>
      <c r="K5" s="268">
        <f>+'P&amp;L'!K8</f>
        <v>0</v>
      </c>
    </row>
    <row r="6" spans="1:11" x14ac:dyDescent="0.25">
      <c r="A6" s="255" t="s">
        <v>579</v>
      </c>
      <c r="B6" s="256">
        <f>+'P&amp;L'!B12-'P&amp;L'!B11</f>
        <v>4.3499999999999996</v>
      </c>
      <c r="C6" s="256">
        <f>+'P&amp;L'!C12-'P&amp;L'!C11</f>
        <v>0.21750000000000025</v>
      </c>
      <c r="D6" s="256">
        <f>+'P&amp;L'!D12-'P&amp;L'!D11</f>
        <v>0.22829999999999995</v>
      </c>
      <c r="E6" s="256">
        <f>+'P&amp;L'!E12-'P&amp;L'!E11</f>
        <v>1.2238999999999995</v>
      </c>
      <c r="F6" s="256">
        <f>+'P&amp;L'!F12-'P&amp;L'!F11</f>
        <v>1.4558</v>
      </c>
      <c r="G6" s="256">
        <f>+'P&amp;L'!G12-'P&amp;L'!G11</f>
        <v>0.3738999999999999</v>
      </c>
      <c r="H6" s="256">
        <f>+'P&amp;L'!H12-'P&amp;L'!H11</f>
        <v>0.39250000000000185</v>
      </c>
      <c r="I6" s="256">
        <f>+'P&amp;L'!I12-'P&amp;L'!I11</f>
        <v>0.41229999999999833</v>
      </c>
      <c r="J6" s="256">
        <f>+'P&amp;L'!J12-'P&amp;L'!J11</f>
        <v>0.4328000000000003</v>
      </c>
      <c r="K6" s="256">
        <f>+'P&amp;L'!K12-'P&amp;L'!K11</f>
        <v>0.45440000000000147</v>
      </c>
    </row>
    <row r="7" spans="1:11" x14ac:dyDescent="0.25">
      <c r="A7" s="254" t="s">
        <v>565</v>
      </c>
      <c r="B7" s="257">
        <f>SUM(B3:B6)</f>
        <v>125.87937500000001</v>
      </c>
      <c r="C7" s="257">
        <f>SUM(C3:C6)</f>
        <v>132.44006250000001</v>
      </c>
      <c r="D7" s="257">
        <f>SUM(D3:D6)</f>
        <v>148.25972000000002</v>
      </c>
      <c r="E7" s="257">
        <f>SUM(E3:E6)</f>
        <v>164.85559749999999</v>
      </c>
      <c r="F7" s="257">
        <f>SUM(F3:F6)</f>
        <v>183.87956000000005</v>
      </c>
      <c r="G7" s="257">
        <f t="shared" ref="G7:K7" si="0">SUM(G3:G6)</f>
        <v>203.61551999999998</v>
      </c>
      <c r="H7" s="257">
        <f t="shared" si="0"/>
        <v>225.60592000000005</v>
      </c>
      <c r="I7" s="257">
        <f t="shared" si="0"/>
        <v>236.57676999999998</v>
      </c>
      <c r="J7" s="257">
        <f t="shared" si="0"/>
        <v>248.09293000000002</v>
      </c>
      <c r="K7" s="257">
        <f t="shared" si="0"/>
        <v>260.81406000000004</v>
      </c>
    </row>
    <row r="8" spans="1:11" x14ac:dyDescent="0.25">
      <c r="A8" s="254" t="s">
        <v>566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</row>
    <row r="9" spans="1:11" x14ac:dyDescent="0.25">
      <c r="A9" s="262" t="s">
        <v>578</v>
      </c>
      <c r="B9" s="256">
        <f>+'P&amp;L'!B21*1.1</f>
        <v>106.96950000000001</v>
      </c>
      <c r="C9" s="256">
        <f>+'P&amp;L'!C21*1.1</f>
        <v>112.097205</v>
      </c>
      <c r="D9" s="256">
        <f>+'P&amp;L'!D21*1.1</f>
        <v>125.76751</v>
      </c>
      <c r="E9" s="256">
        <f>+'P&amp;L'!E21*1.1</f>
        <v>140.487325</v>
      </c>
      <c r="F9" s="256">
        <f>+'P&amp;L'!F21*1.1</f>
        <v>156.4068</v>
      </c>
      <c r="G9" s="256">
        <f>+'P&amp;L'!G21*1.1</f>
        <v>172.68482</v>
      </c>
      <c r="H9" s="256">
        <f>+'P&amp;L'!H21*1.1</f>
        <v>191.09013000000004</v>
      </c>
      <c r="I9" s="256">
        <f>+'P&amp;L'!I21*1.1</f>
        <v>200.59897000000004</v>
      </c>
      <c r="J9" s="256">
        <f>+'P&amp;L'!J21*1.1</f>
        <v>210.62162000000001</v>
      </c>
      <c r="K9" s="256">
        <f>+'P&amp;L'!K21*1.1</f>
        <v>221.14762999999999</v>
      </c>
    </row>
    <row r="10" spans="1:11" x14ac:dyDescent="0.25">
      <c r="A10" s="255" t="s">
        <v>567</v>
      </c>
      <c r="B10" s="256">
        <f>+'P&amp;L'!B23</f>
        <v>5.4423250000000003</v>
      </c>
      <c r="C10" s="256">
        <f>+'P&amp;L'!C23</f>
        <v>5.7094412500000011</v>
      </c>
      <c r="D10" s="256">
        <f>+'P&amp;L'!D23</f>
        <v>5.9899133125000006</v>
      </c>
      <c r="E10" s="256">
        <f>+'P&amp;L'!E23</f>
        <v>6.2844089781250005</v>
      </c>
      <c r="F10" s="256">
        <f>+'P&amp;L'!F23</f>
        <v>6.5936294270312512</v>
      </c>
      <c r="G10" s="256">
        <f>+'P&amp;L'!G23</f>
        <v>6.9183108983828134</v>
      </c>
      <c r="H10" s="256">
        <f>+'P&amp;L'!H23</f>
        <v>7.2592264433019551</v>
      </c>
      <c r="I10" s="256">
        <f>+'P&amp;L'!I23</f>
        <v>7.6171877654670528</v>
      </c>
      <c r="J10" s="256">
        <f>+'P&amp;L'!J23</f>
        <v>7.993047153740406</v>
      </c>
      <c r="K10" s="256">
        <f>+'P&amp;L'!K23</f>
        <v>8.3876995114274262</v>
      </c>
    </row>
    <row r="11" spans="1:11" x14ac:dyDescent="0.25">
      <c r="A11" s="255" t="s">
        <v>331</v>
      </c>
      <c r="B11" s="256">
        <f>+'P&amp;L'!B25</f>
        <v>10.669599999999999</v>
      </c>
      <c r="C11" s="256">
        <f>+'P&amp;L'!C25</f>
        <v>11.476849999999999</v>
      </c>
      <c r="D11" s="256">
        <f>+'P&amp;L'!D25</f>
        <v>12.678000000000001</v>
      </c>
      <c r="E11" s="256">
        <f>+'P&amp;L'!E25</f>
        <v>14.026349999999999</v>
      </c>
      <c r="F11" s="256">
        <f>+'P&amp;L'!F25</f>
        <v>15.891500000000001</v>
      </c>
      <c r="G11" s="256">
        <f>+'P&amp;L'!G25</f>
        <v>17.98085</v>
      </c>
      <c r="H11" s="256">
        <f>+'P&amp;L'!H25</f>
        <v>20.077999999999999</v>
      </c>
      <c r="I11" s="256">
        <f>+'P&amp;L'!I25</f>
        <v>20.077999999999999</v>
      </c>
      <c r="J11" s="256">
        <f>+'P&amp;L'!J25</f>
        <v>20.077999999999999</v>
      </c>
      <c r="K11" s="256">
        <f>+'P&amp;L'!K25</f>
        <v>20.077999999999999</v>
      </c>
    </row>
    <row r="12" spans="1:11" x14ac:dyDescent="0.25">
      <c r="A12" s="254" t="s">
        <v>568</v>
      </c>
      <c r="B12" s="257">
        <f>SUM(B9:B11)</f>
        <v>123.08142500000001</v>
      </c>
      <c r="C12" s="257">
        <f t="shared" ref="C12:K12" si="1">SUM(C9:C11)</f>
        <v>129.28349624999998</v>
      </c>
      <c r="D12" s="257">
        <f t="shared" si="1"/>
        <v>144.43542331250001</v>
      </c>
      <c r="E12" s="257">
        <f t="shared" si="1"/>
        <v>160.79808397812499</v>
      </c>
      <c r="F12" s="257">
        <f t="shared" si="1"/>
        <v>178.89192942703127</v>
      </c>
      <c r="G12" s="257">
        <f t="shared" si="1"/>
        <v>197.5839808983828</v>
      </c>
      <c r="H12" s="257">
        <f t="shared" si="1"/>
        <v>218.42735644330199</v>
      </c>
      <c r="I12" s="257">
        <f t="shared" si="1"/>
        <v>228.29415776546711</v>
      </c>
      <c r="J12" s="257">
        <f t="shared" si="1"/>
        <v>238.69266715374042</v>
      </c>
      <c r="K12" s="257">
        <f t="shared" si="1"/>
        <v>249.61332951142742</v>
      </c>
    </row>
    <row r="13" spans="1:11" x14ac:dyDescent="0.25">
      <c r="A13" s="258" t="s">
        <v>569</v>
      </c>
      <c r="B13" s="259">
        <f>B7-B12</f>
        <v>2.7979500000000002</v>
      </c>
      <c r="C13" s="259">
        <f>C7-C12</f>
        <v>3.1565662500000258</v>
      </c>
      <c r="D13" s="259">
        <f>D7-D12</f>
        <v>3.8242966875000093</v>
      </c>
      <c r="E13" s="259">
        <f>E7-E12</f>
        <v>4.0575135218749949</v>
      </c>
      <c r="F13" s="259">
        <f>F7-F12</f>
        <v>4.9876305729687829</v>
      </c>
      <c r="G13" s="259">
        <f t="shared" ref="G13:K13" si="2">G7-G12</f>
        <v>6.0315391016171702</v>
      </c>
      <c r="H13" s="259">
        <f t="shared" si="2"/>
        <v>7.1785635566980659</v>
      </c>
      <c r="I13" s="259">
        <f t="shared" si="2"/>
        <v>8.282612234532877</v>
      </c>
      <c r="J13" s="259">
        <f t="shared" si="2"/>
        <v>9.4002628462596078</v>
      </c>
      <c r="K13" s="259">
        <f t="shared" si="2"/>
        <v>11.200730488572617</v>
      </c>
    </row>
    <row r="14" spans="1:11" x14ac:dyDescent="0.25">
      <c r="A14" s="260"/>
      <c r="B14" s="261"/>
      <c r="C14" s="261"/>
      <c r="D14" s="261"/>
      <c r="E14" s="261"/>
      <c r="F14" s="261"/>
      <c r="G14" s="261"/>
      <c r="H14" s="261"/>
      <c r="I14" s="261"/>
      <c r="J14" s="261"/>
      <c r="K14" s="261"/>
    </row>
    <row r="15" spans="1:11" x14ac:dyDescent="0.25">
      <c r="A15" s="254" t="s">
        <v>570</v>
      </c>
      <c r="B15" s="254" t="s">
        <v>560</v>
      </c>
      <c r="C15" s="254" t="s">
        <v>561</v>
      </c>
      <c r="D15" s="254" t="s">
        <v>562</v>
      </c>
      <c r="E15" s="254" t="s">
        <v>563</v>
      </c>
      <c r="F15" s="254" t="s">
        <v>564</v>
      </c>
      <c r="G15" s="254" t="s">
        <v>573</v>
      </c>
      <c r="H15" s="254" t="s">
        <v>574</v>
      </c>
      <c r="I15" s="254" t="s">
        <v>575</v>
      </c>
      <c r="J15" s="254" t="s">
        <v>576</v>
      </c>
      <c r="K15" s="254" t="s">
        <v>577</v>
      </c>
    </row>
    <row r="16" spans="1:11" x14ac:dyDescent="0.25">
      <c r="A16" s="255" t="str">
        <f>+A3</f>
        <v xml:space="preserve">Revenue from Sale </v>
      </c>
      <c r="B16" s="256">
        <f>+'P&amp;L'!B5</f>
        <v>106.60000000000001</v>
      </c>
      <c r="C16" s="256">
        <f>+'P&amp;L'!C5</f>
        <v>116.4975</v>
      </c>
      <c r="D16" s="256">
        <f>+'P&amp;L'!D5</f>
        <v>130.42420000000001</v>
      </c>
      <c r="E16" s="256">
        <f>+'P&amp;L'!E5</f>
        <v>144.12610000000001</v>
      </c>
      <c r="F16" s="256">
        <f>+'P&amp;L'!F5</f>
        <v>160.69260000000003</v>
      </c>
      <c r="G16" s="256">
        <f>+'P&amp;L'!G5</f>
        <v>179.32419999999996</v>
      </c>
      <c r="H16" s="256">
        <f>+'P&amp;L'!H5</f>
        <v>199.01220000000001</v>
      </c>
      <c r="I16" s="256">
        <f>+'P&amp;L'!I5</f>
        <v>208.96769999999998</v>
      </c>
      <c r="J16" s="256">
        <f>+'P&amp;L'!J5</f>
        <v>219.41830000000002</v>
      </c>
      <c r="K16" s="256">
        <f>+'P&amp;L'!K5</f>
        <v>230.39060000000001</v>
      </c>
    </row>
    <row r="17" spans="1:11" x14ac:dyDescent="0.25">
      <c r="A17" s="255" t="str">
        <f>+A4</f>
        <v>Revenue- Service Charges - Dal Milling</v>
      </c>
      <c r="B17" s="256">
        <f>+'P&amp;L'!B6</f>
        <v>3.8812500000000001</v>
      </c>
      <c r="C17" s="256">
        <f>+'P&amp;L'!C6</f>
        <v>4.0753124999999999</v>
      </c>
      <c r="D17" s="256">
        <f>+'P&amp;L'!D6</f>
        <v>4.5648</v>
      </c>
      <c r="E17" s="256">
        <f>+'P&amp;L'!E6</f>
        <v>5.0929875000000004</v>
      </c>
      <c r="F17" s="256">
        <f>+'P&amp;L'!F6</f>
        <v>5.661900000000001</v>
      </c>
      <c r="G17" s="256">
        <f>+'P&amp;L'!G6</f>
        <v>5.9850000000000012</v>
      </c>
      <c r="H17" s="256">
        <f>+'P&amp;L'!H6</f>
        <v>6.3000000000000016</v>
      </c>
      <c r="I17" s="256">
        <f>+'P&amp;L'!I6</f>
        <v>6.3000000000000016</v>
      </c>
      <c r="J17" s="256">
        <f>+'P&amp;L'!J6</f>
        <v>6.3000000000000016</v>
      </c>
      <c r="K17" s="256">
        <f>+'P&amp;L'!K6</f>
        <v>6.3000000000000016</v>
      </c>
    </row>
    <row r="18" spans="1:11" hidden="1" x14ac:dyDescent="0.25">
      <c r="A18" s="255" t="str">
        <f>+A5</f>
        <v>Revenue from Weigh Bridge operation</v>
      </c>
      <c r="B18" s="256">
        <f>+'P&amp;L'!B8</f>
        <v>0</v>
      </c>
      <c r="C18" s="256">
        <f>+'P&amp;L'!C8</f>
        <v>0</v>
      </c>
      <c r="D18" s="256">
        <f>+'P&amp;L'!D8</f>
        <v>0</v>
      </c>
      <c r="E18" s="256">
        <f>+'P&amp;L'!E8</f>
        <v>0</v>
      </c>
      <c r="F18" s="256">
        <f>+'P&amp;L'!F8</f>
        <v>0</v>
      </c>
      <c r="G18" s="256">
        <f>+'P&amp;L'!G8</f>
        <v>0</v>
      </c>
      <c r="H18" s="256">
        <f>+'P&amp;L'!H8</f>
        <v>0</v>
      </c>
      <c r="I18" s="256">
        <f>+'P&amp;L'!I8</f>
        <v>0</v>
      </c>
      <c r="J18" s="256">
        <f>+'P&amp;L'!J8</f>
        <v>0</v>
      </c>
      <c r="K18" s="256">
        <f>+'P&amp;L'!K8</f>
        <v>0</v>
      </c>
    </row>
    <row r="19" spans="1:11" x14ac:dyDescent="0.25">
      <c r="A19" s="255" t="str">
        <f>+A6</f>
        <v>Change in Closing Stock of FG</v>
      </c>
      <c r="B19" s="256">
        <f>+'P&amp;L'!B12-'P&amp;L'!B11</f>
        <v>4.3499999999999996</v>
      </c>
      <c r="C19" s="256">
        <f>+'P&amp;L'!C12-'P&amp;L'!C11</f>
        <v>0.21750000000000025</v>
      </c>
      <c r="D19" s="256">
        <f>+'P&amp;L'!D12-'P&amp;L'!D11</f>
        <v>0.22829999999999995</v>
      </c>
      <c r="E19" s="256">
        <f>+'P&amp;L'!E12-'P&amp;L'!E11</f>
        <v>1.2238999999999995</v>
      </c>
      <c r="F19" s="256">
        <f>+'P&amp;L'!F12-'P&amp;L'!F11</f>
        <v>1.4558</v>
      </c>
      <c r="G19" s="256">
        <f>+'P&amp;L'!G12-'P&amp;L'!G11</f>
        <v>0.3738999999999999</v>
      </c>
      <c r="H19" s="256">
        <f>+'P&amp;L'!H12-'P&amp;L'!H11</f>
        <v>0.39250000000000185</v>
      </c>
      <c r="I19" s="256">
        <f>+'P&amp;L'!I12-'P&amp;L'!I11</f>
        <v>0.41229999999999833</v>
      </c>
      <c r="J19" s="256">
        <f>+'P&amp;L'!J12-'P&amp;L'!J11</f>
        <v>0.4328000000000003</v>
      </c>
      <c r="K19" s="256">
        <f>+'P&amp;L'!K12-'P&amp;L'!K11</f>
        <v>0.45440000000000147</v>
      </c>
    </row>
    <row r="20" spans="1:11" x14ac:dyDescent="0.25">
      <c r="A20" s="254" t="s">
        <v>565</v>
      </c>
      <c r="B20" s="257">
        <f>SUM(B16:B19)</f>
        <v>114.83125</v>
      </c>
      <c r="C20" s="257">
        <f>SUM(C16:C19)</f>
        <v>120.7903125</v>
      </c>
      <c r="D20" s="257">
        <f>SUM(D16:D19)</f>
        <v>135.21729999999999</v>
      </c>
      <c r="E20" s="257">
        <f>SUM(E16:E19)</f>
        <v>150.44298749999999</v>
      </c>
      <c r="F20" s="257">
        <f>SUM(F16:F19)</f>
        <v>167.81030000000004</v>
      </c>
      <c r="G20" s="257">
        <f t="shared" ref="G20:K20" si="3">SUM(G16:G19)</f>
        <v>185.68309999999997</v>
      </c>
      <c r="H20" s="257">
        <f t="shared" si="3"/>
        <v>205.70470000000003</v>
      </c>
      <c r="I20" s="257">
        <f t="shared" si="3"/>
        <v>215.67999999999998</v>
      </c>
      <c r="J20" s="257">
        <f t="shared" si="3"/>
        <v>226.15110000000004</v>
      </c>
      <c r="K20" s="257">
        <f t="shared" si="3"/>
        <v>237.14500000000001</v>
      </c>
    </row>
    <row r="21" spans="1:11" x14ac:dyDescent="0.25">
      <c r="A21" s="254" t="s">
        <v>566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spans="1:11" x14ac:dyDescent="0.25">
      <c r="A22" s="262" t="s">
        <v>578</v>
      </c>
      <c r="B22" s="256">
        <f>+'P&amp;L'!B21*1.1</f>
        <v>106.96950000000001</v>
      </c>
      <c r="C22" s="256">
        <f>+'P&amp;L'!C21*1.1</f>
        <v>112.097205</v>
      </c>
      <c r="D22" s="256">
        <f>+'P&amp;L'!D21*1.1</f>
        <v>125.76751</v>
      </c>
      <c r="E22" s="256">
        <f>+'P&amp;L'!E21*1.1</f>
        <v>140.487325</v>
      </c>
      <c r="F22" s="256">
        <f>+'P&amp;L'!F21*1.1</f>
        <v>156.4068</v>
      </c>
      <c r="G22" s="256">
        <f>+'P&amp;L'!G21*1.1</f>
        <v>172.68482</v>
      </c>
      <c r="H22" s="256">
        <f>+'P&amp;L'!H21*1.1</f>
        <v>191.09013000000004</v>
      </c>
      <c r="I22" s="256">
        <f>+'P&amp;L'!I21*1.1</f>
        <v>200.59897000000004</v>
      </c>
      <c r="J22" s="256">
        <f>+'P&amp;L'!J21*1.1</f>
        <v>210.62162000000001</v>
      </c>
      <c r="K22" s="256">
        <f>+'P&amp;L'!K21*1.1</f>
        <v>221.14762999999999</v>
      </c>
    </row>
    <row r="23" spans="1:11" x14ac:dyDescent="0.25">
      <c r="A23" s="255" t="s">
        <v>567</v>
      </c>
      <c r="B23" s="256">
        <f>+'P&amp;L'!B23*1.1</f>
        <v>5.9865575000000009</v>
      </c>
      <c r="C23" s="256">
        <f>+'P&amp;L'!C23*1.1</f>
        <v>6.2803853750000016</v>
      </c>
      <c r="D23" s="256">
        <f>+'P&amp;L'!D23*1.1</f>
        <v>6.5889046437500012</v>
      </c>
      <c r="E23" s="256">
        <f>+'P&amp;L'!E23*1.1</f>
        <v>6.9128498759375008</v>
      </c>
      <c r="F23" s="256">
        <f>+'P&amp;L'!F23*1.1</f>
        <v>7.2529923697343772</v>
      </c>
      <c r="G23" s="256">
        <f>+'P&amp;L'!G23*1.1</f>
        <v>7.6101419882210957</v>
      </c>
      <c r="H23" s="256">
        <f>+'P&amp;L'!H23*1.1</f>
        <v>7.9851490876321511</v>
      </c>
      <c r="I23" s="256">
        <f>+'P&amp;L'!I23*1.1</f>
        <v>8.378906542013759</v>
      </c>
      <c r="J23" s="256">
        <f>+'P&amp;L'!J23*1.1</f>
        <v>8.792351869114448</v>
      </c>
      <c r="K23" s="256">
        <f>+'P&amp;L'!K23*1.1</f>
        <v>9.2264694625701704</v>
      </c>
    </row>
    <row r="24" spans="1:11" x14ac:dyDescent="0.25">
      <c r="A24" s="255" t="s">
        <v>331</v>
      </c>
      <c r="B24" s="256">
        <f>+'P&amp;L'!B25*1.1</f>
        <v>11.736560000000001</v>
      </c>
      <c r="C24" s="256">
        <f>+'P&amp;L'!C25*1.1</f>
        <v>12.624535</v>
      </c>
      <c r="D24" s="256">
        <f>+'P&amp;L'!D25*1.1</f>
        <v>13.945800000000002</v>
      </c>
      <c r="E24" s="256">
        <f>+'P&amp;L'!E25*1.1</f>
        <v>15.428985000000001</v>
      </c>
      <c r="F24" s="256">
        <f>+'P&amp;L'!F25*1.1</f>
        <v>17.480650000000001</v>
      </c>
      <c r="G24" s="256">
        <f>+'P&amp;L'!G25*1.1</f>
        <v>19.778935000000001</v>
      </c>
      <c r="H24" s="256">
        <f>+'P&amp;L'!H25*1.1</f>
        <v>22.085800000000003</v>
      </c>
      <c r="I24" s="256">
        <f>+'P&amp;L'!I25*1.1</f>
        <v>22.085800000000003</v>
      </c>
      <c r="J24" s="256">
        <f>+'P&amp;L'!J25*1.1</f>
        <v>22.085800000000003</v>
      </c>
      <c r="K24" s="256">
        <f>+'P&amp;L'!K25*1.1</f>
        <v>22.085800000000003</v>
      </c>
    </row>
    <row r="25" spans="1:11" x14ac:dyDescent="0.25">
      <c r="A25" s="254" t="s">
        <v>568</v>
      </c>
      <c r="B25" s="257">
        <f>SUM(B22:B24)</f>
        <v>124.69261750000001</v>
      </c>
      <c r="C25" s="257">
        <f t="shared" ref="C25:K25" si="4">SUM(C22:C24)</f>
        <v>131.00212537500002</v>
      </c>
      <c r="D25" s="257">
        <f t="shared" si="4"/>
        <v>146.30221464375001</v>
      </c>
      <c r="E25" s="257">
        <f t="shared" si="4"/>
        <v>162.82915987593751</v>
      </c>
      <c r="F25" s="257">
        <f t="shared" si="4"/>
        <v>181.14044236973439</v>
      </c>
      <c r="G25" s="257">
        <f t="shared" si="4"/>
        <v>200.07389698822109</v>
      </c>
      <c r="H25" s="257">
        <f t="shared" si="4"/>
        <v>221.1610790876322</v>
      </c>
      <c r="I25" s="257">
        <f t="shared" si="4"/>
        <v>231.06367654201381</v>
      </c>
      <c r="J25" s="257">
        <f t="shared" si="4"/>
        <v>241.49977186911445</v>
      </c>
      <c r="K25" s="257">
        <f t="shared" si="4"/>
        <v>252.45989946257018</v>
      </c>
    </row>
    <row r="26" spans="1:11" x14ac:dyDescent="0.25">
      <c r="A26" s="258" t="s">
        <v>569</v>
      </c>
      <c r="B26" s="259">
        <f>B20-B25</f>
        <v>-9.8613675000000143</v>
      </c>
      <c r="C26" s="259">
        <f>C20-C25</f>
        <v>-10.211812875000021</v>
      </c>
      <c r="D26" s="259">
        <f>D20-D25</f>
        <v>-11.084914643750011</v>
      </c>
      <c r="E26" s="259">
        <f>E20-E25</f>
        <v>-12.38617237593752</v>
      </c>
      <c r="F26" s="259">
        <f>F20-F25</f>
        <v>-13.330142369734347</v>
      </c>
      <c r="G26" s="259">
        <f t="shared" ref="G26:K26" si="5">G20-G25</f>
        <v>-14.390796988221126</v>
      </c>
      <c r="H26" s="259">
        <f t="shared" si="5"/>
        <v>-15.456379087632172</v>
      </c>
      <c r="I26" s="259">
        <f t="shared" si="5"/>
        <v>-15.383676542013831</v>
      </c>
      <c r="J26" s="259">
        <f t="shared" si="5"/>
        <v>-15.348671869114412</v>
      </c>
      <c r="K26" s="259">
        <f t="shared" si="5"/>
        <v>-15.314899462570168</v>
      </c>
    </row>
    <row r="27" spans="1:11" x14ac:dyDescent="0.25">
      <c r="A27" s="260"/>
      <c r="B27" s="261"/>
      <c r="C27" s="261"/>
      <c r="D27" s="261"/>
      <c r="E27" s="261"/>
      <c r="F27" s="261"/>
      <c r="G27" s="261"/>
      <c r="H27" s="261"/>
      <c r="I27" s="261"/>
      <c r="J27" s="261"/>
      <c r="K27" s="261"/>
    </row>
    <row r="28" spans="1:11" x14ac:dyDescent="0.25">
      <c r="A28" s="254" t="s">
        <v>571</v>
      </c>
      <c r="B28" s="254" t="s">
        <v>560</v>
      </c>
      <c r="C28" s="254" t="s">
        <v>561</v>
      </c>
      <c r="D28" s="254" t="s">
        <v>562</v>
      </c>
      <c r="E28" s="254" t="s">
        <v>563</v>
      </c>
      <c r="F28" s="254" t="s">
        <v>564</v>
      </c>
      <c r="G28" s="254" t="s">
        <v>573</v>
      </c>
      <c r="H28" s="254" t="s">
        <v>574</v>
      </c>
      <c r="I28" s="254" t="s">
        <v>575</v>
      </c>
      <c r="J28" s="254" t="s">
        <v>576</v>
      </c>
      <c r="K28" s="254" t="s">
        <v>577</v>
      </c>
    </row>
    <row r="29" spans="1:11" x14ac:dyDescent="0.25">
      <c r="A29" s="255" t="str">
        <f>+A16</f>
        <v xml:space="preserve">Revenue from Sale </v>
      </c>
      <c r="B29" s="256">
        <f>+'P&amp;L'!B5*0.9</f>
        <v>95.940000000000012</v>
      </c>
      <c r="C29" s="256">
        <f>+'P&amp;L'!C5*0.9</f>
        <v>104.84775</v>
      </c>
      <c r="D29" s="256">
        <f>+'P&amp;L'!D5*0.9</f>
        <v>117.38178000000002</v>
      </c>
      <c r="E29" s="256">
        <f>+'P&amp;L'!E5*0.9</f>
        <v>129.71349000000001</v>
      </c>
      <c r="F29" s="256">
        <f>+'P&amp;L'!F5*0.9</f>
        <v>144.62334000000004</v>
      </c>
      <c r="G29" s="256">
        <f>+'P&amp;L'!G5*0.9</f>
        <v>161.39177999999998</v>
      </c>
      <c r="H29" s="256">
        <f>+'P&amp;L'!H5*0.9</f>
        <v>179.11098000000001</v>
      </c>
      <c r="I29" s="256">
        <f>+'P&amp;L'!I5*0.9</f>
        <v>188.07092999999998</v>
      </c>
      <c r="J29" s="256">
        <f>+'P&amp;L'!J5*0.9</f>
        <v>197.47647000000001</v>
      </c>
      <c r="K29" s="256">
        <f>+'P&amp;L'!K5*0.9</f>
        <v>207.35154</v>
      </c>
    </row>
    <row r="30" spans="1:11" x14ac:dyDescent="0.25">
      <c r="A30" s="255" t="str">
        <f>+A17</f>
        <v>Revenue- Service Charges - Dal Milling</v>
      </c>
      <c r="B30" s="256">
        <f>+'P&amp;L'!B6*0.9</f>
        <v>3.493125</v>
      </c>
      <c r="C30" s="256">
        <f>+'P&amp;L'!C6*0.9</f>
        <v>3.66778125</v>
      </c>
      <c r="D30" s="256">
        <f>+'P&amp;L'!D6*0.9</f>
        <v>4.10832</v>
      </c>
      <c r="E30" s="256">
        <f>+'P&amp;L'!E6*0.9</f>
        <v>4.5836887500000003</v>
      </c>
      <c r="F30" s="256">
        <f>+'P&amp;L'!F6*0.9</f>
        <v>5.0957100000000013</v>
      </c>
      <c r="G30" s="256">
        <f>+'P&amp;L'!G6*0.9</f>
        <v>5.3865000000000016</v>
      </c>
      <c r="H30" s="256">
        <f>+'P&amp;L'!H6*0.9</f>
        <v>5.6700000000000017</v>
      </c>
      <c r="I30" s="256">
        <f>+'P&amp;L'!I6*0.9</f>
        <v>5.6700000000000017</v>
      </c>
      <c r="J30" s="256">
        <f>+'P&amp;L'!J6*0.9</f>
        <v>5.6700000000000017</v>
      </c>
      <c r="K30" s="256">
        <f>+'P&amp;L'!K6*0.9</f>
        <v>5.6700000000000017</v>
      </c>
    </row>
    <row r="31" spans="1:11" hidden="1" x14ac:dyDescent="0.25">
      <c r="A31" s="255" t="str">
        <f>+A18</f>
        <v>Revenue from Weigh Bridge operation</v>
      </c>
      <c r="B31" s="256">
        <f>+'P&amp;L'!B8</f>
        <v>0</v>
      </c>
      <c r="C31" s="256">
        <f>+'P&amp;L'!C8</f>
        <v>0</v>
      </c>
      <c r="D31" s="256">
        <f>+'P&amp;L'!D8</f>
        <v>0</v>
      </c>
      <c r="E31" s="256">
        <f>+'P&amp;L'!E8</f>
        <v>0</v>
      </c>
      <c r="F31" s="256">
        <f>+'P&amp;L'!F8</f>
        <v>0</v>
      </c>
      <c r="G31" s="256">
        <f>+'P&amp;L'!G8</f>
        <v>0</v>
      </c>
      <c r="H31" s="256">
        <f>+'P&amp;L'!H8</f>
        <v>0</v>
      </c>
      <c r="I31" s="256">
        <f>+'P&amp;L'!I8</f>
        <v>0</v>
      </c>
      <c r="J31" s="256">
        <f>+'P&amp;L'!J8</f>
        <v>0</v>
      </c>
      <c r="K31" s="256">
        <f>+'P&amp;L'!K8</f>
        <v>0</v>
      </c>
    </row>
    <row r="32" spans="1:11" x14ac:dyDescent="0.25">
      <c r="A32" s="255" t="str">
        <f>+A19</f>
        <v>Change in Closing Stock of FG</v>
      </c>
      <c r="B32" s="256">
        <f>+'P&amp;L'!B12-'P&amp;L'!B11</f>
        <v>4.3499999999999996</v>
      </c>
      <c r="C32" s="256">
        <f>+'P&amp;L'!C12-'P&amp;L'!C11</f>
        <v>0.21750000000000025</v>
      </c>
      <c r="D32" s="256">
        <f>+'P&amp;L'!D12-'P&amp;L'!D11</f>
        <v>0.22829999999999995</v>
      </c>
      <c r="E32" s="256">
        <f>+'P&amp;L'!E12-'P&amp;L'!E11</f>
        <v>1.2238999999999995</v>
      </c>
      <c r="F32" s="256">
        <f>+'P&amp;L'!F12-'P&amp;L'!F11</f>
        <v>1.4558</v>
      </c>
      <c r="G32" s="256">
        <f>+'P&amp;L'!G12-'P&amp;L'!G11</f>
        <v>0.3738999999999999</v>
      </c>
      <c r="H32" s="256">
        <f>+'P&amp;L'!H12-'P&amp;L'!H11</f>
        <v>0.39250000000000185</v>
      </c>
      <c r="I32" s="256">
        <f>+'P&amp;L'!I12-'P&amp;L'!I11</f>
        <v>0.41229999999999833</v>
      </c>
      <c r="J32" s="256">
        <f>+'P&amp;L'!J12-'P&amp;L'!J11</f>
        <v>0.4328000000000003</v>
      </c>
      <c r="K32" s="256">
        <f>+'P&amp;L'!K12-'P&amp;L'!K11</f>
        <v>0.45440000000000147</v>
      </c>
    </row>
    <row r="33" spans="1:11" x14ac:dyDescent="0.25">
      <c r="A33" s="254" t="s">
        <v>565</v>
      </c>
      <c r="B33" s="257">
        <f>SUM(B29:B32)</f>
        <v>103.78312500000001</v>
      </c>
      <c r="C33" s="257">
        <f>SUM(C29:C32)</f>
        <v>108.73303125000001</v>
      </c>
      <c r="D33" s="257">
        <f>SUM(D29:D32)</f>
        <v>121.71840000000003</v>
      </c>
      <c r="E33" s="257">
        <f>SUM(E29:E32)</f>
        <v>135.52107874999999</v>
      </c>
      <c r="F33" s="257">
        <f>SUM(F29:F32)</f>
        <v>151.17485000000005</v>
      </c>
      <c r="G33" s="257">
        <f t="shared" ref="G33:K33" si="6">SUM(G29:G32)</f>
        <v>167.15217999999999</v>
      </c>
      <c r="H33" s="257">
        <f t="shared" si="6"/>
        <v>185.17348000000001</v>
      </c>
      <c r="I33" s="257">
        <f t="shared" si="6"/>
        <v>194.15322999999998</v>
      </c>
      <c r="J33" s="257">
        <f t="shared" si="6"/>
        <v>203.57927000000001</v>
      </c>
      <c r="K33" s="257">
        <f t="shared" si="6"/>
        <v>213.47594000000001</v>
      </c>
    </row>
    <row r="34" spans="1:11" x14ac:dyDescent="0.25">
      <c r="A34" s="254" t="s">
        <v>566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</row>
    <row r="35" spans="1:11" x14ac:dyDescent="0.25">
      <c r="A35" s="262" t="s">
        <v>578</v>
      </c>
      <c r="B35" s="256">
        <f>+'P&amp;L'!B21*0.9</f>
        <v>87.520500000000013</v>
      </c>
      <c r="C35" s="256">
        <f>+'P&amp;L'!C21*0.9</f>
        <v>91.715895000000003</v>
      </c>
      <c r="D35" s="256">
        <f>+'P&amp;L'!D21*0.9</f>
        <v>102.90069</v>
      </c>
      <c r="E35" s="256">
        <f>+'P&amp;L'!E21*0.9</f>
        <v>114.94417499999999</v>
      </c>
      <c r="F35" s="256">
        <f>+'P&amp;L'!F21*0.9</f>
        <v>127.96919999999999</v>
      </c>
      <c r="G35" s="256">
        <f>+'P&amp;L'!G21*0.9</f>
        <v>141.28757999999999</v>
      </c>
      <c r="H35" s="256">
        <f>+'P&amp;L'!H21*0.9</f>
        <v>156.34647000000004</v>
      </c>
      <c r="I35" s="256">
        <f>+'P&amp;L'!I21*0.9</f>
        <v>164.12643000000003</v>
      </c>
      <c r="J35" s="256">
        <f>+'P&amp;L'!J21*0.9</f>
        <v>172.32678000000001</v>
      </c>
      <c r="K35" s="256">
        <f>+'P&amp;L'!K21*0.9</f>
        <v>180.93896999999998</v>
      </c>
    </row>
    <row r="36" spans="1:11" x14ac:dyDescent="0.25">
      <c r="A36" s="255" t="s">
        <v>567</v>
      </c>
      <c r="B36" s="256">
        <f>+'P&amp;L'!B23</f>
        <v>5.4423250000000003</v>
      </c>
      <c r="C36" s="256">
        <f>+'P&amp;L'!C23</f>
        <v>5.7094412500000011</v>
      </c>
      <c r="D36" s="256">
        <f>+'P&amp;L'!D23</f>
        <v>5.9899133125000006</v>
      </c>
      <c r="E36" s="256">
        <f>+'P&amp;L'!E23</f>
        <v>6.2844089781250005</v>
      </c>
      <c r="F36" s="256">
        <f>+'P&amp;L'!F23</f>
        <v>6.5936294270312512</v>
      </c>
      <c r="G36" s="256">
        <f>+'P&amp;L'!G23</f>
        <v>6.9183108983828134</v>
      </c>
      <c r="H36" s="256">
        <f>+'P&amp;L'!H23</f>
        <v>7.2592264433019551</v>
      </c>
      <c r="I36" s="256">
        <f>+'P&amp;L'!I23</f>
        <v>7.6171877654670528</v>
      </c>
      <c r="J36" s="256">
        <f>+'P&amp;L'!J23</f>
        <v>7.993047153740406</v>
      </c>
      <c r="K36" s="256">
        <f>+'P&amp;L'!K23</f>
        <v>8.3876995114274262</v>
      </c>
    </row>
    <row r="37" spans="1:11" x14ac:dyDescent="0.25">
      <c r="A37" s="255" t="s">
        <v>331</v>
      </c>
      <c r="B37" s="256">
        <f>+'P&amp;L'!B25</f>
        <v>10.669599999999999</v>
      </c>
      <c r="C37" s="256">
        <f>+'P&amp;L'!C25</f>
        <v>11.476849999999999</v>
      </c>
      <c r="D37" s="256">
        <f>+'P&amp;L'!D25</f>
        <v>12.678000000000001</v>
      </c>
      <c r="E37" s="256">
        <f>+'P&amp;L'!E25</f>
        <v>14.026349999999999</v>
      </c>
      <c r="F37" s="256">
        <f>+'P&amp;L'!F25</f>
        <v>15.891500000000001</v>
      </c>
      <c r="G37" s="256">
        <f>+'P&amp;L'!G25</f>
        <v>17.98085</v>
      </c>
      <c r="H37" s="256">
        <f>+'P&amp;L'!H25</f>
        <v>20.077999999999999</v>
      </c>
      <c r="I37" s="256">
        <f>+'P&amp;L'!I25</f>
        <v>20.077999999999999</v>
      </c>
      <c r="J37" s="256">
        <f>+'P&amp;L'!J25</f>
        <v>20.077999999999999</v>
      </c>
      <c r="K37" s="256">
        <f>+'P&amp;L'!K25</f>
        <v>20.077999999999999</v>
      </c>
    </row>
    <row r="38" spans="1:11" x14ac:dyDescent="0.25">
      <c r="A38" s="254" t="s">
        <v>568</v>
      </c>
      <c r="B38" s="257">
        <f>SUM(B35:B37)</f>
        <v>103.63242500000001</v>
      </c>
      <c r="C38" s="257">
        <f t="shared" ref="C38:K38" si="7">SUM(C35:C37)</f>
        <v>108.90218625</v>
      </c>
      <c r="D38" s="257">
        <f t="shared" si="7"/>
        <v>121.56860331249999</v>
      </c>
      <c r="E38" s="257">
        <f t="shared" si="7"/>
        <v>135.254933978125</v>
      </c>
      <c r="F38" s="257">
        <f t="shared" si="7"/>
        <v>150.45432942703124</v>
      </c>
      <c r="G38" s="257">
        <f t="shared" si="7"/>
        <v>166.18674089838279</v>
      </c>
      <c r="H38" s="257">
        <f t="shared" si="7"/>
        <v>183.68369644330201</v>
      </c>
      <c r="I38" s="257">
        <f t="shared" si="7"/>
        <v>191.8216177654671</v>
      </c>
      <c r="J38" s="257">
        <f t="shared" si="7"/>
        <v>200.39782715374042</v>
      </c>
      <c r="K38" s="257">
        <f t="shared" si="7"/>
        <v>209.40466951142741</v>
      </c>
    </row>
    <row r="39" spans="1:11" x14ac:dyDescent="0.25">
      <c r="A39" s="258" t="s">
        <v>569</v>
      </c>
      <c r="B39" s="259">
        <f>B33-B38</f>
        <v>0.1507000000000005</v>
      </c>
      <c r="C39" s="259">
        <f>C33-C38</f>
        <v>-0.16915499999998929</v>
      </c>
      <c r="D39" s="259">
        <f>D33-D38</f>
        <v>0.14979668750004294</v>
      </c>
      <c r="E39" s="259">
        <f>E33-E38</f>
        <v>0.26614477187499119</v>
      </c>
      <c r="F39" s="259">
        <f>F33-F38</f>
        <v>0.72052057296880889</v>
      </c>
      <c r="G39" s="259">
        <f t="shared" ref="G39:K39" si="8">G33-G38</f>
        <v>0.96543910161719282</v>
      </c>
      <c r="H39" s="259">
        <f t="shared" si="8"/>
        <v>1.4897835566980007</v>
      </c>
      <c r="I39" s="259">
        <f t="shared" si="8"/>
        <v>2.3316122345328836</v>
      </c>
      <c r="J39" s="259">
        <f t="shared" si="8"/>
        <v>3.1814428462595856</v>
      </c>
      <c r="K39" s="259">
        <f t="shared" si="8"/>
        <v>4.0712704885725941</v>
      </c>
    </row>
    <row r="40" spans="1:11" x14ac:dyDescent="0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1"/>
    </row>
    <row r="41" spans="1:11" x14ac:dyDescent="0.25">
      <c r="A41" s="254" t="s">
        <v>572</v>
      </c>
      <c r="B41" s="254" t="s">
        <v>560</v>
      </c>
      <c r="C41" s="254" t="s">
        <v>561</v>
      </c>
      <c r="D41" s="254" t="s">
        <v>562</v>
      </c>
      <c r="E41" s="254" t="s">
        <v>563</v>
      </c>
      <c r="F41" s="254" t="s">
        <v>564</v>
      </c>
      <c r="G41" s="254" t="s">
        <v>573</v>
      </c>
      <c r="H41" s="254" t="s">
        <v>574</v>
      </c>
      <c r="I41" s="254" t="s">
        <v>575</v>
      </c>
      <c r="J41" s="254" t="s">
        <v>576</v>
      </c>
      <c r="K41" s="254" t="s">
        <v>577</v>
      </c>
    </row>
    <row r="42" spans="1:11" x14ac:dyDescent="0.25">
      <c r="A42" s="255" t="str">
        <f>+A29</f>
        <v xml:space="preserve">Revenue from Sale </v>
      </c>
      <c r="B42" s="256">
        <f>+'P&amp;L'!B5</f>
        <v>106.60000000000001</v>
      </c>
      <c r="C42" s="256">
        <f>+'P&amp;L'!C5</f>
        <v>116.4975</v>
      </c>
      <c r="D42" s="256">
        <f>+'P&amp;L'!D5</f>
        <v>130.42420000000001</v>
      </c>
      <c r="E42" s="256">
        <f>+'P&amp;L'!E5</f>
        <v>144.12610000000001</v>
      </c>
      <c r="F42" s="256">
        <f>+'P&amp;L'!F5</f>
        <v>160.69260000000003</v>
      </c>
      <c r="G42" s="256">
        <f>+'P&amp;L'!G5</f>
        <v>179.32419999999996</v>
      </c>
      <c r="H42" s="256">
        <f>+'P&amp;L'!H5</f>
        <v>199.01220000000001</v>
      </c>
      <c r="I42" s="256">
        <f>+'P&amp;L'!I5</f>
        <v>208.96769999999998</v>
      </c>
      <c r="J42" s="256">
        <f>+'P&amp;L'!J5</f>
        <v>219.41830000000002</v>
      </c>
      <c r="K42" s="256">
        <f>+'P&amp;L'!K5</f>
        <v>230.39060000000001</v>
      </c>
    </row>
    <row r="43" spans="1:11" x14ac:dyDescent="0.25">
      <c r="A43" s="255" t="str">
        <f>+A30</f>
        <v>Revenue- Service Charges - Dal Milling</v>
      </c>
      <c r="B43" s="256">
        <f>+'P&amp;L'!B6</f>
        <v>3.8812500000000001</v>
      </c>
      <c r="C43" s="256">
        <f>+'P&amp;L'!C6</f>
        <v>4.0753124999999999</v>
      </c>
      <c r="D43" s="256">
        <f>+'P&amp;L'!D6</f>
        <v>4.5648</v>
      </c>
      <c r="E43" s="256">
        <f>+'P&amp;L'!E6</f>
        <v>5.0929875000000004</v>
      </c>
      <c r="F43" s="256">
        <f>+'P&amp;L'!F6</f>
        <v>5.661900000000001</v>
      </c>
      <c r="G43" s="256">
        <f>+'P&amp;L'!G6</f>
        <v>5.9850000000000012</v>
      </c>
      <c r="H43" s="256">
        <f>+'P&amp;L'!H6</f>
        <v>6.3000000000000016</v>
      </c>
      <c r="I43" s="256">
        <f>+'P&amp;L'!I6</f>
        <v>6.3000000000000016</v>
      </c>
      <c r="J43" s="256">
        <f>+'P&amp;L'!J6</f>
        <v>6.3000000000000016</v>
      </c>
      <c r="K43" s="256">
        <f>+'P&amp;L'!K6</f>
        <v>6.3000000000000016</v>
      </c>
    </row>
    <row r="44" spans="1:11" hidden="1" x14ac:dyDescent="0.25">
      <c r="A44" s="255" t="str">
        <f>+A31</f>
        <v>Revenue from Weigh Bridge operation</v>
      </c>
      <c r="B44" s="256">
        <f>+'P&amp;L'!B8</f>
        <v>0</v>
      </c>
      <c r="C44" s="256">
        <f>+'P&amp;L'!C8</f>
        <v>0</v>
      </c>
      <c r="D44" s="256">
        <f>+'P&amp;L'!D8</f>
        <v>0</v>
      </c>
      <c r="E44" s="256">
        <f>+'P&amp;L'!E8</f>
        <v>0</v>
      </c>
      <c r="F44" s="256">
        <f>+'P&amp;L'!F8</f>
        <v>0</v>
      </c>
      <c r="G44" s="256">
        <f>+'P&amp;L'!G8</f>
        <v>0</v>
      </c>
      <c r="H44" s="256">
        <f>+'P&amp;L'!H8</f>
        <v>0</v>
      </c>
      <c r="I44" s="256">
        <f>+'P&amp;L'!I8</f>
        <v>0</v>
      </c>
      <c r="J44" s="256">
        <f>+'P&amp;L'!J8</f>
        <v>0</v>
      </c>
      <c r="K44" s="256">
        <f>+'P&amp;L'!K8</f>
        <v>0</v>
      </c>
    </row>
    <row r="45" spans="1:11" x14ac:dyDescent="0.25">
      <c r="A45" s="255" t="str">
        <f>+A32</f>
        <v>Change in Closing Stock of FG</v>
      </c>
      <c r="B45" s="256">
        <f>+'P&amp;L'!B12-'P&amp;L'!B11</f>
        <v>4.3499999999999996</v>
      </c>
      <c r="C45" s="256">
        <f>+'P&amp;L'!C12-'P&amp;L'!C11</f>
        <v>0.21750000000000025</v>
      </c>
      <c r="D45" s="256">
        <f>+'P&amp;L'!D12-'P&amp;L'!D11</f>
        <v>0.22829999999999995</v>
      </c>
      <c r="E45" s="256">
        <f>+'P&amp;L'!E12-'P&amp;L'!E11</f>
        <v>1.2238999999999995</v>
      </c>
      <c r="F45" s="256">
        <f>+'P&amp;L'!F12-'P&amp;L'!F11</f>
        <v>1.4558</v>
      </c>
      <c r="G45" s="256">
        <f>+'P&amp;L'!G12-'P&amp;L'!G11</f>
        <v>0.3738999999999999</v>
      </c>
      <c r="H45" s="256">
        <f>+'P&amp;L'!H12-'P&amp;L'!H11</f>
        <v>0.39250000000000185</v>
      </c>
      <c r="I45" s="256">
        <f>+'P&amp;L'!I12-'P&amp;L'!I11</f>
        <v>0.41229999999999833</v>
      </c>
      <c r="J45" s="256">
        <f>+'P&amp;L'!J12-'P&amp;L'!J11</f>
        <v>0.4328000000000003</v>
      </c>
      <c r="K45" s="256">
        <f>+'P&amp;L'!K12-'P&amp;L'!K11</f>
        <v>0.45440000000000147</v>
      </c>
    </row>
    <row r="46" spans="1:11" x14ac:dyDescent="0.25">
      <c r="A46" s="254" t="s">
        <v>565</v>
      </c>
      <c r="B46" s="257">
        <f>SUM(B42:B45)</f>
        <v>114.83125</v>
      </c>
      <c r="C46" s="257">
        <f>SUM(C42:C45)</f>
        <v>120.7903125</v>
      </c>
      <c r="D46" s="257">
        <f>SUM(D42:D45)</f>
        <v>135.21729999999999</v>
      </c>
      <c r="E46" s="257">
        <f>SUM(E42:E45)</f>
        <v>150.44298749999999</v>
      </c>
      <c r="F46" s="257">
        <f>SUM(F42:F45)</f>
        <v>167.81030000000004</v>
      </c>
      <c r="G46" s="257">
        <f t="shared" ref="G46:K46" si="9">SUM(G42:G45)</f>
        <v>185.68309999999997</v>
      </c>
      <c r="H46" s="257">
        <f t="shared" si="9"/>
        <v>205.70470000000003</v>
      </c>
      <c r="I46" s="257">
        <f t="shared" si="9"/>
        <v>215.67999999999998</v>
      </c>
      <c r="J46" s="257">
        <f t="shared" si="9"/>
        <v>226.15110000000004</v>
      </c>
      <c r="K46" s="257">
        <f t="shared" si="9"/>
        <v>237.14500000000001</v>
      </c>
    </row>
    <row r="47" spans="1:11" x14ac:dyDescent="0.25">
      <c r="A47" s="254" t="s">
        <v>566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</row>
    <row r="48" spans="1:11" x14ac:dyDescent="0.25">
      <c r="A48" s="262" t="s">
        <v>578</v>
      </c>
      <c r="B48" s="256">
        <f>+'P&amp;L'!B21*0.9</f>
        <v>87.520500000000013</v>
      </c>
      <c r="C48" s="256">
        <f>+'P&amp;L'!C21*0.9</f>
        <v>91.715895000000003</v>
      </c>
      <c r="D48" s="256">
        <f>+'P&amp;L'!D21*0.9</f>
        <v>102.90069</v>
      </c>
      <c r="E48" s="256">
        <f>+'P&amp;L'!E21*0.9</f>
        <v>114.94417499999999</v>
      </c>
      <c r="F48" s="256">
        <f>+'P&amp;L'!F21*0.9</f>
        <v>127.96919999999999</v>
      </c>
      <c r="G48" s="256">
        <f>+'P&amp;L'!G21*0.9</f>
        <v>141.28757999999999</v>
      </c>
      <c r="H48" s="256">
        <f>+'P&amp;L'!H21*0.9</f>
        <v>156.34647000000004</v>
      </c>
      <c r="I48" s="256">
        <f>+'P&amp;L'!I21*0.9</f>
        <v>164.12643000000003</v>
      </c>
      <c r="J48" s="256">
        <f>+'P&amp;L'!J21*0.9</f>
        <v>172.32678000000001</v>
      </c>
      <c r="K48" s="256">
        <f>+'P&amp;L'!K21*0.9</f>
        <v>180.93896999999998</v>
      </c>
    </row>
    <row r="49" spans="1:11" x14ac:dyDescent="0.25">
      <c r="A49" s="255" t="s">
        <v>567</v>
      </c>
      <c r="B49" s="256">
        <f>+'P&amp;L'!B23*0.9</f>
        <v>4.8980925000000006</v>
      </c>
      <c r="C49" s="256">
        <f>+'P&amp;L'!C23*0.9</f>
        <v>5.1384971250000016</v>
      </c>
      <c r="D49" s="256">
        <f>+'P&amp;L'!D23*0.9</f>
        <v>5.3909219812500009</v>
      </c>
      <c r="E49" s="256">
        <f>+'P&amp;L'!E23*0.9</f>
        <v>5.6559680803125003</v>
      </c>
      <c r="F49" s="256">
        <f>+'P&amp;L'!F23*0.9</f>
        <v>5.9342664843281261</v>
      </c>
      <c r="G49" s="256">
        <f>+'P&amp;L'!G23*0.9</f>
        <v>6.2264798085445321</v>
      </c>
      <c r="H49" s="256">
        <f>+'P&amp;L'!H23*0.9</f>
        <v>6.5333037989717599</v>
      </c>
      <c r="I49" s="256">
        <f>+'P&amp;L'!I23*0.9</f>
        <v>6.8554689889203475</v>
      </c>
      <c r="J49" s="256">
        <f>+'P&amp;L'!J23*0.9</f>
        <v>7.1937424383663657</v>
      </c>
      <c r="K49" s="256">
        <f>+'P&amp;L'!K23*0.9</f>
        <v>7.5489295602846838</v>
      </c>
    </row>
    <row r="50" spans="1:11" x14ac:dyDescent="0.25">
      <c r="A50" s="255" t="s">
        <v>331</v>
      </c>
      <c r="B50" s="256">
        <f>+'P&amp;L'!B25*0.9</f>
        <v>9.6026399999999992</v>
      </c>
      <c r="C50" s="256">
        <f>+'P&amp;L'!C25*0.9</f>
        <v>10.329165</v>
      </c>
      <c r="D50" s="256">
        <f>+'P&amp;L'!D25*0.9</f>
        <v>11.410200000000001</v>
      </c>
      <c r="E50" s="256">
        <f>+'P&amp;L'!E25*0.9</f>
        <v>12.623714999999999</v>
      </c>
      <c r="F50" s="256">
        <f>+'P&amp;L'!F25*0.9</f>
        <v>14.302350000000001</v>
      </c>
      <c r="G50" s="256">
        <f>+'P&amp;L'!G25*0.9</f>
        <v>16.182765</v>
      </c>
      <c r="H50" s="256">
        <f>+'P&amp;L'!H25*0.9</f>
        <v>18.0702</v>
      </c>
      <c r="I50" s="256">
        <f>+'P&amp;L'!I25*0.9</f>
        <v>18.0702</v>
      </c>
      <c r="J50" s="256">
        <f>+'P&amp;L'!J25*0.9</f>
        <v>18.0702</v>
      </c>
      <c r="K50" s="256">
        <f>+'P&amp;L'!K25*0.9</f>
        <v>18.0702</v>
      </c>
    </row>
    <row r="51" spans="1:11" x14ac:dyDescent="0.25">
      <c r="A51" s="254" t="s">
        <v>568</v>
      </c>
      <c r="B51" s="257">
        <f>SUM(B48:B50)</f>
        <v>102.02123250000001</v>
      </c>
      <c r="C51" s="257">
        <f t="shared" ref="C51:K51" si="10">SUM(C48:C50)</f>
        <v>107.18355712500001</v>
      </c>
      <c r="D51" s="257">
        <f t="shared" si="10"/>
        <v>119.70181198125</v>
      </c>
      <c r="E51" s="257">
        <f t="shared" si="10"/>
        <v>133.22385808031248</v>
      </c>
      <c r="F51" s="257">
        <f t="shared" si="10"/>
        <v>148.2058164843281</v>
      </c>
      <c r="G51" s="257">
        <f t="shared" si="10"/>
        <v>163.69682480854451</v>
      </c>
      <c r="H51" s="257">
        <f t="shared" si="10"/>
        <v>180.9499737989718</v>
      </c>
      <c r="I51" s="257">
        <f t="shared" si="10"/>
        <v>189.05209898892036</v>
      </c>
      <c r="J51" s="257">
        <f t="shared" si="10"/>
        <v>197.59072243836638</v>
      </c>
      <c r="K51" s="257">
        <f t="shared" si="10"/>
        <v>206.55809956028466</v>
      </c>
    </row>
    <row r="52" spans="1:11" x14ac:dyDescent="0.25">
      <c r="A52" s="258" t="s">
        <v>569</v>
      </c>
      <c r="B52" s="259">
        <f>B46-B51</f>
        <v>12.810017499999987</v>
      </c>
      <c r="C52" s="259">
        <f>C46-C51</f>
        <v>13.606755374999992</v>
      </c>
      <c r="D52" s="259">
        <f>D46-D51</f>
        <v>15.515488018749991</v>
      </c>
      <c r="E52" s="259">
        <f>E46-E51</f>
        <v>17.219129419687505</v>
      </c>
      <c r="F52" s="259">
        <f>F46-F51</f>
        <v>19.604483515671944</v>
      </c>
      <c r="G52" s="259">
        <f t="shared" ref="G52:K52" si="11">G46-G51</f>
        <v>21.986275191455462</v>
      </c>
      <c r="H52" s="259">
        <f t="shared" si="11"/>
        <v>24.754726201028234</v>
      </c>
      <c r="I52" s="259">
        <f t="shared" si="11"/>
        <v>26.627901011079615</v>
      </c>
      <c r="J52" s="259">
        <f t="shared" si="11"/>
        <v>28.560377561633658</v>
      </c>
      <c r="K52" s="259">
        <f t="shared" si="11"/>
        <v>30.58690043971535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zoomScale="60" zoomScaleNormal="100" workbookViewId="0">
      <selection activeCell="C29" sqref="C29"/>
    </sheetView>
  </sheetViews>
  <sheetFormatPr defaultColWidth="9.140625" defaultRowHeight="15" x14ac:dyDescent="0.25"/>
  <cols>
    <col min="1" max="1" width="34.28515625" customWidth="1"/>
    <col min="2" max="2" width="9.5703125" bestFit="1" customWidth="1"/>
    <col min="3" max="3" width="11.140625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6" s="270" customFormat="1" x14ac:dyDescent="0.25">
      <c r="A2" s="287" t="s">
        <v>597</v>
      </c>
      <c r="B2" s="288" t="s">
        <v>36</v>
      </c>
      <c r="C2" s="288" t="s">
        <v>37</v>
      </c>
      <c r="D2" s="288" t="s">
        <v>38</v>
      </c>
      <c r="E2" s="288" t="s">
        <v>39</v>
      </c>
      <c r="F2" s="288" t="s">
        <v>40</v>
      </c>
      <c r="G2" s="288" t="s">
        <v>41</v>
      </c>
      <c r="H2" s="288" t="s">
        <v>42</v>
      </c>
      <c r="I2" s="288" t="s">
        <v>490</v>
      </c>
      <c r="J2" s="288" t="s">
        <v>491</v>
      </c>
      <c r="K2" s="288" t="s">
        <v>492</v>
      </c>
    </row>
    <row r="3" spans="1:16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6" x14ac:dyDescent="0.25">
      <c r="A4" s="18" t="s">
        <v>595</v>
      </c>
      <c r="B4" s="289">
        <v>300</v>
      </c>
      <c r="C4" s="289">
        <f>ROUND(B4*120%,0)</f>
        <v>360</v>
      </c>
      <c r="D4" s="289">
        <f t="shared" ref="D4:K4" si="0">ROUND(C4*120%,0)</f>
        <v>432</v>
      </c>
      <c r="E4" s="289">
        <f t="shared" si="0"/>
        <v>518</v>
      </c>
      <c r="F4" s="289">
        <f t="shared" si="0"/>
        <v>622</v>
      </c>
      <c r="G4" s="289">
        <f t="shared" si="0"/>
        <v>746</v>
      </c>
      <c r="H4" s="289">
        <f t="shared" si="0"/>
        <v>895</v>
      </c>
      <c r="I4" s="289">
        <f t="shared" si="0"/>
        <v>1074</v>
      </c>
      <c r="J4" s="289">
        <f t="shared" si="0"/>
        <v>1289</v>
      </c>
      <c r="K4" s="289">
        <f t="shared" si="0"/>
        <v>1547</v>
      </c>
    </row>
    <row r="5" spans="1:16" x14ac:dyDescent="0.25">
      <c r="A5" s="18" t="s">
        <v>596</v>
      </c>
      <c r="B5" s="289">
        <v>393</v>
      </c>
      <c r="C5" s="289">
        <f>B5-(C4-B4)</f>
        <v>333</v>
      </c>
      <c r="D5" s="289">
        <f t="shared" ref="D5:F5" si="1">C5-(D4-C4)</f>
        <v>261</v>
      </c>
      <c r="E5" s="289">
        <f t="shared" si="1"/>
        <v>175</v>
      </c>
      <c r="F5" s="289">
        <f t="shared" si="1"/>
        <v>71</v>
      </c>
      <c r="G5" s="289">
        <v>0</v>
      </c>
      <c r="H5" s="289">
        <v>0</v>
      </c>
      <c r="I5" s="289">
        <v>0</v>
      </c>
      <c r="J5" s="289">
        <v>0</v>
      </c>
      <c r="K5" s="289">
        <v>0</v>
      </c>
    </row>
    <row r="6" spans="1:16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6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6" s="270" customFormat="1" x14ac:dyDescent="0.25">
      <c r="A8" s="282" t="s">
        <v>687</v>
      </c>
      <c r="B8" s="288" t="s">
        <v>36</v>
      </c>
      <c r="C8" s="288" t="s">
        <v>37</v>
      </c>
      <c r="D8" s="288" t="s">
        <v>38</v>
      </c>
      <c r="E8" s="288" t="s">
        <v>39</v>
      </c>
      <c r="F8" s="288" t="s">
        <v>40</v>
      </c>
      <c r="G8" s="288" t="s">
        <v>41</v>
      </c>
      <c r="H8" s="288" t="s">
        <v>42</v>
      </c>
      <c r="I8" s="288" t="s">
        <v>490</v>
      </c>
      <c r="J8" s="288" t="s">
        <v>491</v>
      </c>
      <c r="K8" s="288" t="s">
        <v>492</v>
      </c>
      <c r="O8"/>
      <c r="P8"/>
    </row>
    <row r="9" spans="1:16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6" x14ac:dyDescent="0.25">
      <c r="A10" s="18" t="s">
        <v>595</v>
      </c>
      <c r="B10" s="290">
        <v>150</v>
      </c>
      <c r="C10" s="290">
        <f>B10+(B11-C11)</f>
        <v>240</v>
      </c>
      <c r="D10" s="290">
        <f t="shared" ref="D10:K10" si="2">C10+(C11-D11)</f>
        <v>348</v>
      </c>
      <c r="E10" s="290">
        <f t="shared" si="2"/>
        <v>477</v>
      </c>
      <c r="F10" s="290">
        <f t="shared" si="2"/>
        <v>633</v>
      </c>
      <c r="G10" s="290">
        <f t="shared" si="2"/>
        <v>739.5</v>
      </c>
      <c r="H10" s="290">
        <f t="shared" si="2"/>
        <v>739.5</v>
      </c>
      <c r="I10" s="290">
        <f t="shared" si="2"/>
        <v>739.5</v>
      </c>
      <c r="J10" s="290">
        <f t="shared" si="2"/>
        <v>739.5</v>
      </c>
      <c r="K10" s="290">
        <f t="shared" si="2"/>
        <v>739.5</v>
      </c>
    </row>
    <row r="11" spans="1:16" x14ac:dyDescent="0.25">
      <c r="A11" s="18" t="s">
        <v>596</v>
      </c>
      <c r="B11" s="290">
        <f>B5*1.5</f>
        <v>589.5</v>
      </c>
      <c r="C11" s="290">
        <f t="shared" ref="C11:K11" si="3">C5*1.5</f>
        <v>499.5</v>
      </c>
      <c r="D11" s="290">
        <f t="shared" si="3"/>
        <v>391.5</v>
      </c>
      <c r="E11" s="290">
        <f t="shared" si="3"/>
        <v>262.5</v>
      </c>
      <c r="F11" s="290">
        <f t="shared" si="3"/>
        <v>106.5</v>
      </c>
      <c r="G11" s="290">
        <f t="shared" si="3"/>
        <v>0</v>
      </c>
      <c r="H11" s="290">
        <f t="shared" si="3"/>
        <v>0</v>
      </c>
      <c r="I11" s="290">
        <f t="shared" si="3"/>
        <v>0</v>
      </c>
      <c r="J11" s="290">
        <f t="shared" si="3"/>
        <v>0</v>
      </c>
      <c r="K11" s="290">
        <f t="shared" si="3"/>
        <v>0</v>
      </c>
    </row>
    <row r="12" spans="1:16" x14ac:dyDescent="0.25">
      <c r="A12" s="18"/>
      <c r="B12" s="289"/>
      <c r="C12" s="289"/>
      <c r="D12" s="289"/>
      <c r="E12" s="289"/>
      <c r="F12" s="289"/>
      <c r="G12" s="289"/>
      <c r="H12" s="289"/>
      <c r="I12" s="289"/>
      <c r="J12" s="289"/>
      <c r="K12" s="289"/>
    </row>
    <row r="13" spans="1:16" s="270" customFormat="1" x14ac:dyDescent="0.25">
      <c r="A13" s="282" t="s">
        <v>688</v>
      </c>
      <c r="B13" s="291">
        <f>SUM(B10:B12)</f>
        <v>739.5</v>
      </c>
      <c r="C13" s="291">
        <f t="shared" ref="C13:K13" si="4">SUM(C10:C12)</f>
        <v>739.5</v>
      </c>
      <c r="D13" s="291">
        <f t="shared" si="4"/>
        <v>739.5</v>
      </c>
      <c r="E13" s="291">
        <f t="shared" si="4"/>
        <v>739.5</v>
      </c>
      <c r="F13" s="291">
        <f t="shared" si="4"/>
        <v>739.5</v>
      </c>
      <c r="G13" s="291">
        <f t="shared" si="4"/>
        <v>739.5</v>
      </c>
      <c r="H13" s="291">
        <f t="shared" si="4"/>
        <v>739.5</v>
      </c>
      <c r="I13" s="291">
        <f t="shared" si="4"/>
        <v>739.5</v>
      </c>
      <c r="J13" s="291">
        <f t="shared" si="4"/>
        <v>739.5</v>
      </c>
      <c r="K13" s="291">
        <f t="shared" si="4"/>
        <v>739.5</v>
      </c>
    </row>
    <row r="14" spans="1:16" s="270" customFormat="1" x14ac:dyDescent="0.25">
      <c r="A14" s="282"/>
      <c r="B14" s="291"/>
      <c r="C14" s="291"/>
      <c r="D14" s="291"/>
      <c r="E14" s="291"/>
      <c r="F14" s="291"/>
      <c r="G14" s="291"/>
      <c r="H14" s="291"/>
      <c r="I14" s="291"/>
      <c r="J14" s="291"/>
      <c r="K14" s="291"/>
    </row>
    <row r="15" spans="1:16" s="270" customFormat="1" x14ac:dyDescent="0.25">
      <c r="A15" s="282"/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P15" s="329"/>
    </row>
    <row r="16" spans="1:16" s="270" customFormat="1" x14ac:dyDescent="0.25">
      <c r="A16" s="282" t="s">
        <v>691</v>
      </c>
      <c r="B16" s="288" t="s">
        <v>36</v>
      </c>
      <c r="C16" s="288" t="s">
        <v>37</v>
      </c>
      <c r="D16" s="288" t="s">
        <v>38</v>
      </c>
      <c r="E16" s="288" t="s">
        <v>39</v>
      </c>
      <c r="F16" s="288" t="s">
        <v>40</v>
      </c>
      <c r="G16" s="288" t="s">
        <v>41</v>
      </c>
      <c r="H16" s="288" t="s">
        <v>42</v>
      </c>
      <c r="I16" s="288" t="s">
        <v>490</v>
      </c>
      <c r="J16" s="288" t="s">
        <v>491</v>
      </c>
      <c r="K16" s="288" t="s">
        <v>492</v>
      </c>
    </row>
    <row r="17" spans="1:19" s="270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9" s="270" customFormat="1" x14ac:dyDescent="0.25">
      <c r="A18" s="18" t="s">
        <v>595</v>
      </c>
      <c r="B18" s="290">
        <v>240</v>
      </c>
      <c r="C18" s="290">
        <f>B18+(B19-C19)</f>
        <v>312</v>
      </c>
      <c r="D18" s="290">
        <f t="shared" ref="D18" si="5">C18+(C19-D19)</f>
        <v>398.4</v>
      </c>
      <c r="E18" s="290">
        <f t="shared" ref="E18" si="6">D18+(D19-E19)</f>
        <v>501.59999999999997</v>
      </c>
      <c r="F18" s="290">
        <f t="shared" ref="F18" si="7">E18+(E19-F19)</f>
        <v>626.4</v>
      </c>
      <c r="G18" s="290">
        <f t="shared" ref="G18" si="8">F18+(F19-G19)</f>
        <v>711.6</v>
      </c>
      <c r="H18" s="290">
        <f t="shared" ref="H18" si="9">G18+(G19-H19)</f>
        <v>711.6</v>
      </c>
      <c r="I18" s="290">
        <f t="shared" ref="I18" si="10">H18+(H19-I19)</f>
        <v>711.6</v>
      </c>
      <c r="J18" s="290">
        <f t="shared" ref="J18" si="11">I18+(I19-J19)</f>
        <v>711.6</v>
      </c>
      <c r="K18" s="290">
        <f t="shared" ref="K18" si="12">J18+(J19-K19)</f>
        <v>711.6</v>
      </c>
    </row>
    <row r="19" spans="1:19" s="270" customFormat="1" x14ac:dyDescent="0.25">
      <c r="A19" s="18" t="s">
        <v>596</v>
      </c>
      <c r="B19" s="290">
        <f>B5*1.2</f>
        <v>471.59999999999997</v>
      </c>
      <c r="C19" s="290">
        <f t="shared" ref="C19:K19" si="13">C5*1.2</f>
        <v>399.59999999999997</v>
      </c>
      <c r="D19" s="290">
        <f t="shared" si="13"/>
        <v>313.2</v>
      </c>
      <c r="E19" s="290">
        <f t="shared" si="13"/>
        <v>210</v>
      </c>
      <c r="F19" s="290">
        <f t="shared" si="13"/>
        <v>85.2</v>
      </c>
      <c r="G19" s="290">
        <f t="shared" si="13"/>
        <v>0</v>
      </c>
      <c r="H19" s="290">
        <f t="shared" si="13"/>
        <v>0</v>
      </c>
      <c r="I19" s="290">
        <f t="shared" si="13"/>
        <v>0</v>
      </c>
      <c r="J19" s="290">
        <f t="shared" si="13"/>
        <v>0</v>
      </c>
      <c r="K19" s="290">
        <f t="shared" si="13"/>
        <v>0</v>
      </c>
    </row>
    <row r="20" spans="1:19" s="270" customFormat="1" x14ac:dyDescent="0.25">
      <c r="A20" s="18"/>
      <c r="B20" s="289"/>
      <c r="C20" s="289"/>
      <c r="D20" s="289"/>
      <c r="E20" s="289"/>
      <c r="F20" s="289"/>
      <c r="G20" s="289"/>
      <c r="H20" s="289"/>
      <c r="I20" s="289"/>
      <c r="J20" s="289"/>
      <c r="K20" s="289"/>
    </row>
    <row r="21" spans="1:19" s="270" customFormat="1" x14ac:dyDescent="0.25">
      <c r="A21" s="282" t="s">
        <v>692</v>
      </c>
      <c r="B21" s="291">
        <f>SUM(B18:B20)</f>
        <v>711.59999999999991</v>
      </c>
      <c r="C21" s="291">
        <f t="shared" ref="C21:K21" si="14">SUM(C18:C20)</f>
        <v>711.59999999999991</v>
      </c>
      <c r="D21" s="291">
        <f t="shared" si="14"/>
        <v>711.59999999999991</v>
      </c>
      <c r="E21" s="291">
        <f t="shared" si="14"/>
        <v>711.59999999999991</v>
      </c>
      <c r="F21" s="291">
        <f t="shared" si="14"/>
        <v>711.6</v>
      </c>
      <c r="G21" s="291">
        <f t="shared" si="14"/>
        <v>711.6</v>
      </c>
      <c r="H21" s="291">
        <f t="shared" si="14"/>
        <v>711.6</v>
      </c>
      <c r="I21" s="291">
        <f t="shared" si="14"/>
        <v>711.6</v>
      </c>
      <c r="J21" s="291">
        <f t="shared" si="14"/>
        <v>711.6</v>
      </c>
      <c r="K21" s="291">
        <f t="shared" si="14"/>
        <v>711.6</v>
      </c>
    </row>
    <row r="22" spans="1:19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9" s="270" customFormat="1" ht="50.25" customHeight="1" x14ac:dyDescent="0.25">
      <c r="A23" s="287" t="s">
        <v>689</v>
      </c>
      <c r="B23" s="291">
        <f>B13*0.7</f>
        <v>517.65</v>
      </c>
      <c r="C23" s="291">
        <f t="shared" ref="C23:K23" si="15">C13*0.7</f>
        <v>517.65</v>
      </c>
      <c r="D23" s="291">
        <f t="shared" si="15"/>
        <v>517.65</v>
      </c>
      <c r="E23" s="291">
        <f t="shared" si="15"/>
        <v>517.65</v>
      </c>
      <c r="F23" s="291">
        <f t="shared" si="15"/>
        <v>517.65</v>
      </c>
      <c r="G23" s="291">
        <f t="shared" si="15"/>
        <v>517.65</v>
      </c>
      <c r="H23" s="291">
        <f t="shared" si="15"/>
        <v>517.65</v>
      </c>
      <c r="I23" s="291">
        <f t="shared" si="15"/>
        <v>517.65</v>
      </c>
      <c r="J23" s="291">
        <f t="shared" si="15"/>
        <v>517.65</v>
      </c>
      <c r="K23" s="291">
        <f t="shared" si="15"/>
        <v>517.65</v>
      </c>
      <c r="P23"/>
      <c r="Q23"/>
      <c r="R23"/>
      <c r="S23"/>
    </row>
    <row r="24" spans="1:19" s="270" customFormat="1" x14ac:dyDescent="0.25">
      <c r="A24" s="287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P24"/>
      <c r="Q24"/>
      <c r="R24"/>
      <c r="S24"/>
    </row>
    <row r="25" spans="1:19" s="270" customFormat="1" ht="35.25" customHeight="1" x14ac:dyDescent="0.25">
      <c r="A25" s="287" t="s">
        <v>690</v>
      </c>
      <c r="B25" s="291">
        <f>B21*0.6</f>
        <v>426.95999999999992</v>
      </c>
      <c r="C25" s="291">
        <f t="shared" ref="C25:K25" si="16">C21*0.6</f>
        <v>426.95999999999992</v>
      </c>
      <c r="D25" s="291">
        <f t="shared" si="16"/>
        <v>426.95999999999992</v>
      </c>
      <c r="E25" s="291">
        <f t="shared" si="16"/>
        <v>426.95999999999992</v>
      </c>
      <c r="F25" s="291">
        <f t="shared" si="16"/>
        <v>426.96</v>
      </c>
      <c r="G25" s="291">
        <f t="shared" si="16"/>
        <v>426.96</v>
      </c>
      <c r="H25" s="291">
        <f t="shared" si="16"/>
        <v>426.96</v>
      </c>
      <c r="I25" s="291">
        <f t="shared" si="16"/>
        <v>426.96</v>
      </c>
      <c r="J25" s="291">
        <f t="shared" si="16"/>
        <v>426.96</v>
      </c>
      <c r="K25" s="291">
        <f t="shared" si="16"/>
        <v>426.96</v>
      </c>
      <c r="P25"/>
      <c r="Q25"/>
      <c r="R25"/>
      <c r="S25"/>
    </row>
    <row r="26" spans="1:19" s="270" customFormat="1" x14ac:dyDescent="0.25">
      <c r="A26" s="287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P26"/>
      <c r="Q26"/>
      <c r="R26"/>
      <c r="S26"/>
    </row>
    <row r="27" spans="1:19" s="270" customFormat="1" ht="36" customHeight="1" x14ac:dyDescent="0.25">
      <c r="A27" s="287" t="s">
        <v>693</v>
      </c>
      <c r="B27" s="288">
        <f>'Output Schedule'!B17+('Output Schedule'!B12/2)</f>
        <v>185.625</v>
      </c>
      <c r="C27" s="288">
        <f>'Output Schedule'!C17+('Output Schedule'!C12/2)</f>
        <v>185.625</v>
      </c>
      <c r="D27" s="288">
        <f>'Output Schedule'!D17+('Output Schedule'!D12/2)</f>
        <v>198</v>
      </c>
      <c r="E27" s="288">
        <f>'Output Schedule'!E17+('Output Schedule'!E12/2)</f>
        <v>210.375</v>
      </c>
      <c r="F27" s="288">
        <f>'Output Schedule'!F17+('Output Schedule'!F12/2)</f>
        <v>222.75</v>
      </c>
      <c r="G27" s="288">
        <f>'Output Schedule'!G17+('Output Schedule'!G12/2)</f>
        <v>235.125</v>
      </c>
      <c r="H27" s="288">
        <f>'Output Schedule'!H17+('Output Schedule'!H12/2)</f>
        <v>247.50000000000003</v>
      </c>
      <c r="I27" s="288">
        <f>'Output Schedule'!I17+('Output Schedule'!I12/2)</f>
        <v>247.50000000000003</v>
      </c>
      <c r="J27" s="288">
        <f>'Output Schedule'!J17+('Output Schedule'!J12/2)</f>
        <v>247.50000000000003</v>
      </c>
      <c r="K27" s="288">
        <f>'Output Schedule'!K17+('Output Schedule'!K12/2)</f>
        <v>247.50000000000003</v>
      </c>
    </row>
    <row r="28" spans="1:1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9" ht="31.5" customHeight="1" x14ac:dyDescent="0.25">
      <c r="A29" s="287" t="s">
        <v>694</v>
      </c>
      <c r="B29" s="282">
        <f>'Output Schedule'!B18+('Output Schedule'!B12/2)</f>
        <v>151.875</v>
      </c>
      <c r="C29" s="330">
        <f>'Output Schedule'!C18+('Output Schedule'!C12/2)</f>
        <v>151.875</v>
      </c>
      <c r="D29" s="282">
        <f>'Output Schedule'!D18+('Output Schedule'!D12/2)</f>
        <v>162</v>
      </c>
      <c r="E29" s="282">
        <f>'Output Schedule'!E18+('Output Schedule'!E12/2)</f>
        <v>172.125</v>
      </c>
      <c r="F29" s="282">
        <f>'Output Schedule'!F18+('Output Schedule'!F12/2)</f>
        <v>182.25</v>
      </c>
      <c r="G29" s="282">
        <f>'Output Schedule'!G18+('Output Schedule'!G12/2)</f>
        <v>192.375</v>
      </c>
      <c r="H29" s="282">
        <f>'Output Schedule'!H18+('Output Schedule'!H12/2)</f>
        <v>202.50000000000003</v>
      </c>
      <c r="I29" s="282">
        <f>'Output Schedule'!I18+('Output Schedule'!I12/2)</f>
        <v>202.50000000000003</v>
      </c>
      <c r="J29" s="282">
        <f>'Output Schedule'!J18+('Output Schedule'!J12/2)</f>
        <v>202.50000000000003</v>
      </c>
      <c r="K29" s="282">
        <f>'Output Schedule'!K18+('Output Schedule'!K12/2)</f>
        <v>202.50000000000003</v>
      </c>
    </row>
    <row r="37" spans="19:19" x14ac:dyDescent="0.25">
      <c r="S37">
        <f>347/910</f>
        <v>0.3813186813186813</v>
      </c>
    </row>
  </sheetData>
  <pageMargins left="0.7" right="0.7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60" zoomScaleNormal="100" workbookViewId="0">
      <selection activeCell="D8" sqref="D8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22.28515625" style="1" bestFit="1" customWidth="1"/>
    <col min="5" max="5" width="22" style="1" bestFit="1" customWidth="1"/>
    <col min="6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12" ht="18.75" x14ac:dyDescent="0.3">
      <c r="A1" s="344" t="s">
        <v>25</v>
      </c>
      <c r="B1" s="344"/>
    </row>
    <row r="2" spans="1:12" ht="15.75" x14ac:dyDescent="0.25">
      <c r="A2" s="12" t="s">
        <v>26</v>
      </c>
    </row>
    <row r="3" spans="1:12" x14ac:dyDescent="0.25">
      <c r="A3" s="15" t="s">
        <v>1</v>
      </c>
      <c r="B3" s="15" t="s">
        <v>27</v>
      </c>
      <c r="C3" s="15" t="s">
        <v>543</v>
      </c>
      <c r="D3" s="15" t="s">
        <v>620</v>
      </c>
      <c r="E3" s="15" t="s">
        <v>621</v>
      </c>
    </row>
    <row r="4" spans="1:12" x14ac:dyDescent="0.25">
      <c r="A4" s="6"/>
      <c r="B4" s="6"/>
      <c r="C4" s="6"/>
    </row>
    <row r="5" spans="1:12" x14ac:dyDescent="0.25">
      <c r="A5" s="6" t="s">
        <v>28</v>
      </c>
      <c r="B5" s="9">
        <v>0</v>
      </c>
      <c r="C5" s="246">
        <f>B5/$B$15</f>
        <v>0</v>
      </c>
      <c r="D5" s="292">
        <v>0</v>
      </c>
      <c r="E5" s="25">
        <f>B5*D5</f>
        <v>0</v>
      </c>
    </row>
    <row r="6" spans="1:12" x14ac:dyDescent="0.25">
      <c r="A6" s="6" t="s">
        <v>5</v>
      </c>
      <c r="B6" s="19">
        <f>'Capital Cost'!C6</f>
        <v>28.28</v>
      </c>
      <c r="C6" s="246">
        <f t="shared" ref="C6:C13" si="0">B6/$B$15</f>
        <v>0.80135527416099595</v>
      </c>
      <c r="D6" s="292">
        <v>0.6</v>
      </c>
      <c r="E6" s="25">
        <f t="shared" ref="E6:E13" si="1">B6*D6</f>
        <v>16.968</v>
      </c>
    </row>
    <row r="7" spans="1:12" x14ac:dyDescent="0.25">
      <c r="A7" s="6" t="s">
        <v>7</v>
      </c>
      <c r="B7" s="19">
        <v>0</v>
      </c>
      <c r="C7" s="246">
        <f t="shared" si="0"/>
        <v>0</v>
      </c>
      <c r="D7" s="292">
        <v>0</v>
      </c>
      <c r="E7" s="25">
        <f t="shared" si="1"/>
        <v>0</v>
      </c>
    </row>
    <row r="8" spans="1:12" x14ac:dyDescent="0.25">
      <c r="A8" s="10" t="s">
        <v>400</v>
      </c>
      <c r="B8" s="19">
        <f>+'Capital Cost'!C13+'Capital Cost'!C23+'Capital Cost'!C25+'Capital Cost'!C33</f>
        <v>3.4750000000000001</v>
      </c>
      <c r="C8" s="246">
        <f t="shared" si="0"/>
        <v>9.8469221276855048E-2</v>
      </c>
      <c r="D8" s="292">
        <v>0.6</v>
      </c>
      <c r="E8" s="25">
        <f t="shared" si="1"/>
        <v>2.085</v>
      </c>
    </row>
    <row r="9" spans="1:12" hidden="1" x14ac:dyDescent="0.25">
      <c r="A9" s="10" t="s">
        <v>487</v>
      </c>
      <c r="B9" s="19"/>
      <c r="C9" s="246">
        <f t="shared" si="0"/>
        <v>0</v>
      </c>
      <c r="D9" s="292"/>
      <c r="E9" s="25">
        <f t="shared" si="1"/>
        <v>0</v>
      </c>
    </row>
    <row r="10" spans="1:12" x14ac:dyDescent="0.25">
      <c r="A10" s="10" t="s">
        <v>584</v>
      </c>
      <c r="B10" s="19">
        <f>'Capital Cost'!C37</f>
        <v>1.5877500000000002</v>
      </c>
      <c r="C10" s="246">
        <f t="shared" si="0"/>
        <v>4.4991224771892553E-2</v>
      </c>
      <c r="D10" s="292">
        <v>0.6</v>
      </c>
      <c r="E10" s="25">
        <f t="shared" si="1"/>
        <v>0.95265000000000011</v>
      </c>
    </row>
    <row r="11" spans="1:12" x14ac:dyDescent="0.25">
      <c r="A11" s="10" t="s">
        <v>401</v>
      </c>
      <c r="B11" s="19">
        <v>0</v>
      </c>
      <c r="C11" s="246">
        <f t="shared" si="0"/>
        <v>0</v>
      </c>
      <c r="D11" s="292">
        <v>0.6</v>
      </c>
      <c r="E11" s="25">
        <f t="shared" si="1"/>
        <v>0</v>
      </c>
    </row>
    <row r="12" spans="1:12" x14ac:dyDescent="0.25">
      <c r="A12" s="6" t="s">
        <v>21</v>
      </c>
      <c r="B12" s="19">
        <v>0</v>
      </c>
      <c r="C12" s="246">
        <f t="shared" si="0"/>
        <v>0</v>
      </c>
      <c r="D12" s="292">
        <v>0</v>
      </c>
      <c r="E12" s="25">
        <f t="shared" si="1"/>
        <v>0</v>
      </c>
    </row>
    <row r="13" spans="1:12" x14ac:dyDescent="0.25">
      <c r="A13" s="6" t="s">
        <v>23</v>
      </c>
      <c r="B13" s="19">
        <f>'WC Assessment'!C13</f>
        <v>1.9474651041666671</v>
      </c>
      <c r="C13" s="246">
        <f t="shared" si="0"/>
        <v>5.5184279790256432E-2</v>
      </c>
      <c r="D13" s="292">
        <v>0</v>
      </c>
      <c r="E13" s="25">
        <f t="shared" si="1"/>
        <v>0</v>
      </c>
      <c r="L13"/>
    </row>
    <row r="14" spans="1:12" x14ac:dyDescent="0.25">
      <c r="A14" s="6"/>
      <c r="B14" s="6"/>
      <c r="C14" s="6"/>
      <c r="I14"/>
      <c r="J14"/>
      <c r="K14"/>
      <c r="L14"/>
    </row>
    <row r="15" spans="1:12" x14ac:dyDescent="0.25">
      <c r="A15" s="218" t="s">
        <v>29</v>
      </c>
      <c r="B15" s="247">
        <f>SUM(B5:B14)</f>
        <v>35.29021510416667</v>
      </c>
      <c r="C15" s="248">
        <f>B15/$B$15</f>
        <v>1</v>
      </c>
      <c r="E15" s="25">
        <f>SUM(E5:E14)</f>
        <v>20.005649999999999</v>
      </c>
      <c r="I15"/>
      <c r="J15"/>
      <c r="K15"/>
      <c r="L15"/>
    </row>
    <row r="16" spans="1:12" x14ac:dyDescent="0.25">
      <c r="I16"/>
      <c r="J16"/>
      <c r="K16"/>
      <c r="L16"/>
    </row>
    <row r="17" spans="1:12" ht="15.75" x14ac:dyDescent="0.25">
      <c r="A17" s="14" t="s">
        <v>30</v>
      </c>
      <c r="I17"/>
      <c r="J17"/>
      <c r="K17"/>
      <c r="L17"/>
    </row>
    <row r="18" spans="1:12" x14ac:dyDescent="0.25">
      <c r="A18" s="15" t="s">
        <v>1</v>
      </c>
      <c r="B18" s="15" t="s">
        <v>27</v>
      </c>
      <c r="C18" s="15" t="s">
        <v>544</v>
      </c>
      <c r="I18"/>
      <c r="J18"/>
      <c r="K18"/>
      <c r="L18"/>
    </row>
    <row r="19" spans="1:12" x14ac:dyDescent="0.25">
      <c r="A19" s="6" t="s">
        <v>32</v>
      </c>
      <c r="B19" s="19">
        <f>+B15-B20</f>
        <v>15.284565104166671</v>
      </c>
      <c r="C19" s="246">
        <f>B19/$B$23</f>
        <v>0.43311056787415392</v>
      </c>
      <c r="D19" s="38"/>
      <c r="I19"/>
      <c r="J19"/>
      <c r="K19"/>
      <c r="L19"/>
    </row>
    <row r="20" spans="1:12" x14ac:dyDescent="0.25">
      <c r="A20" s="6" t="s">
        <v>320</v>
      </c>
      <c r="B20" s="19">
        <f>+(B15-B13)*0.6</f>
        <v>20.005649999999999</v>
      </c>
      <c r="C20" s="246">
        <f t="shared" ref="C20:C23" si="2">B20/$B$23</f>
        <v>0.56688943212584608</v>
      </c>
      <c r="D20" s="38"/>
    </row>
    <row r="21" spans="1:12" x14ac:dyDescent="0.25">
      <c r="A21" s="6" t="s">
        <v>31</v>
      </c>
      <c r="B21" s="19">
        <v>0</v>
      </c>
      <c r="C21" s="246">
        <f t="shared" si="2"/>
        <v>0</v>
      </c>
      <c r="D21" s="38"/>
    </row>
    <row r="22" spans="1:12" x14ac:dyDescent="0.25">
      <c r="A22" s="6"/>
      <c r="B22" s="6"/>
      <c r="C22" s="6"/>
    </row>
    <row r="23" spans="1:12" x14ac:dyDescent="0.25">
      <c r="A23" s="218" t="s">
        <v>29</v>
      </c>
      <c r="B23" s="247">
        <f>B15</f>
        <v>35.29021510416667</v>
      </c>
      <c r="C23" s="248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3" sqref="B3:L21"/>
    </sheetView>
  </sheetViews>
  <sheetFormatPr defaultRowHeight="15" x14ac:dyDescent="0.25"/>
  <cols>
    <col min="1" max="1" width="0" style="1" hidden="1" customWidth="1"/>
    <col min="2" max="2" width="32.28515625" style="1" bestFit="1" customWidth="1"/>
    <col min="3" max="10" width="9.42578125" style="1" bestFit="1" customWidth="1"/>
    <col min="11" max="11" width="8.42578125" style="1" bestFit="1" customWidth="1"/>
    <col min="12" max="12" width="8" style="1" bestFit="1" customWidth="1"/>
    <col min="13" max="14" width="9.140625" style="1"/>
    <col min="15" max="15" width="30.5703125" style="1" bestFit="1" customWidth="1"/>
    <col min="16" max="18" width="9.42578125" style="1" bestFit="1" customWidth="1"/>
    <col min="19" max="25" width="8.42578125" style="1" bestFit="1" customWidth="1"/>
    <col min="26" max="16384" width="9.140625" style="1"/>
  </cols>
  <sheetData>
    <row r="2" spans="2:25" x14ac:dyDescent="0.25">
      <c r="B2" s="345" t="s">
        <v>34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O2" s="345" t="s">
        <v>35</v>
      </c>
      <c r="P2" s="346"/>
      <c r="Q2" s="346"/>
      <c r="R2" s="346"/>
      <c r="S2" s="346"/>
      <c r="T2" s="346"/>
      <c r="U2" s="346"/>
      <c r="V2" s="346"/>
      <c r="W2" s="346"/>
      <c r="X2" s="346"/>
      <c r="Y2" s="346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490</v>
      </c>
      <c r="K3" s="17" t="s">
        <v>491</v>
      </c>
      <c r="L3" s="17" t="s">
        <v>492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490</v>
      </c>
      <c r="X3" s="17" t="s">
        <v>491</v>
      </c>
      <c r="Y3" s="17" t="s">
        <v>492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28.28</v>
      </c>
      <c r="D5" s="19">
        <f>C7</f>
        <v>27.383524000000001</v>
      </c>
      <c r="E5" s="19">
        <f t="shared" ref="E5:I5" si="0">D7</f>
        <v>26.487048000000001</v>
      </c>
      <c r="F5" s="19">
        <f t="shared" si="0"/>
        <v>25.590572000000002</v>
      </c>
      <c r="G5" s="19">
        <f t="shared" si="0"/>
        <v>24.694096000000002</v>
      </c>
      <c r="H5" s="19">
        <f t="shared" si="0"/>
        <v>23.797620000000002</v>
      </c>
      <c r="I5" s="19">
        <f t="shared" si="0"/>
        <v>22.901144000000002</v>
      </c>
      <c r="J5" s="19">
        <f t="shared" ref="J5" si="1">I7</f>
        <v>22.004668000000002</v>
      </c>
      <c r="K5" s="19">
        <f t="shared" ref="K5" si="2">J7</f>
        <v>21.108192000000003</v>
      </c>
      <c r="L5" s="19">
        <f t="shared" ref="L5" si="3">K7</f>
        <v>20.211716000000003</v>
      </c>
      <c r="O5" s="6" t="s">
        <v>45</v>
      </c>
      <c r="P5" s="19">
        <f>C5</f>
        <v>28.28</v>
      </c>
      <c r="Q5" s="19">
        <f>P7</f>
        <v>25.452000000000002</v>
      </c>
      <c r="R5" s="19">
        <f t="shared" ref="R5:V5" si="4">Q7</f>
        <v>22.9068</v>
      </c>
      <c r="S5" s="19">
        <f t="shared" si="4"/>
        <v>20.616120000000002</v>
      </c>
      <c r="T5" s="19">
        <f t="shared" si="4"/>
        <v>18.554508000000002</v>
      </c>
      <c r="U5" s="19">
        <f t="shared" si="4"/>
        <v>16.699057200000002</v>
      </c>
      <c r="V5" s="19">
        <f t="shared" si="4"/>
        <v>15.029151480000001</v>
      </c>
      <c r="W5" s="19">
        <f t="shared" ref="W5" si="5">V7</f>
        <v>13.526236332000002</v>
      </c>
      <c r="X5" s="19">
        <f t="shared" ref="X5" si="6">W7</f>
        <v>12.173612698800001</v>
      </c>
      <c r="Y5" s="19">
        <f t="shared" ref="Y5" si="7">X7</f>
        <v>10.956251428920002</v>
      </c>
    </row>
    <row r="6" spans="2:25" x14ac:dyDescent="0.25">
      <c r="B6" s="6" t="s">
        <v>46</v>
      </c>
      <c r="C6" s="19">
        <f>C5*3.17%</f>
        <v>0.89647600000000005</v>
      </c>
      <c r="D6" s="19">
        <f>C6</f>
        <v>0.89647600000000005</v>
      </c>
      <c r="E6" s="19">
        <f t="shared" ref="E6:I6" si="8">D6</f>
        <v>0.89647600000000005</v>
      </c>
      <c r="F6" s="19">
        <f t="shared" si="8"/>
        <v>0.89647600000000005</v>
      </c>
      <c r="G6" s="19">
        <f t="shared" si="8"/>
        <v>0.89647600000000005</v>
      </c>
      <c r="H6" s="19">
        <f t="shared" si="8"/>
        <v>0.89647600000000005</v>
      </c>
      <c r="I6" s="19">
        <f t="shared" si="8"/>
        <v>0.89647600000000005</v>
      </c>
      <c r="J6" s="19">
        <f t="shared" ref="J6" si="9">I6</f>
        <v>0.89647600000000005</v>
      </c>
      <c r="K6" s="19">
        <f t="shared" ref="K6" si="10">J6</f>
        <v>0.89647600000000005</v>
      </c>
      <c r="L6" s="19">
        <f t="shared" ref="L6" si="11">K6</f>
        <v>0.89647600000000005</v>
      </c>
      <c r="O6" s="1" t="s">
        <v>47</v>
      </c>
      <c r="P6" s="19">
        <f>P5*10%</f>
        <v>2.8280000000000003</v>
      </c>
      <c r="Q6" s="19">
        <f>Q5*10%</f>
        <v>2.5452000000000004</v>
      </c>
      <c r="R6" s="19">
        <f t="shared" ref="R6:V6" si="12">R5*10%</f>
        <v>2.29068</v>
      </c>
      <c r="S6" s="19">
        <f t="shared" si="12"/>
        <v>2.0616120000000002</v>
      </c>
      <c r="T6" s="19">
        <f t="shared" si="12"/>
        <v>1.8554508000000003</v>
      </c>
      <c r="U6" s="19">
        <f t="shared" si="12"/>
        <v>1.6699057200000003</v>
      </c>
      <c r="V6" s="19">
        <f t="shared" si="12"/>
        <v>1.5029151480000003</v>
      </c>
      <c r="W6" s="19">
        <f t="shared" ref="W6:Y6" si="13">W5*10%</f>
        <v>1.3526236332000003</v>
      </c>
      <c r="X6" s="19">
        <f t="shared" si="13"/>
        <v>1.2173612698800003</v>
      </c>
      <c r="Y6" s="19">
        <f t="shared" si="13"/>
        <v>1.0956251428920003</v>
      </c>
    </row>
    <row r="7" spans="2:25" x14ac:dyDescent="0.25">
      <c r="B7" s="6" t="s">
        <v>48</v>
      </c>
      <c r="C7" s="19">
        <f>C5-C6</f>
        <v>27.383524000000001</v>
      </c>
      <c r="D7" s="19">
        <f t="shared" ref="D7:I7" si="14">D5-D6</f>
        <v>26.487048000000001</v>
      </c>
      <c r="E7" s="19">
        <f t="shared" si="14"/>
        <v>25.590572000000002</v>
      </c>
      <c r="F7" s="19">
        <f t="shared" si="14"/>
        <v>24.694096000000002</v>
      </c>
      <c r="G7" s="19">
        <f t="shared" si="14"/>
        <v>23.797620000000002</v>
      </c>
      <c r="H7" s="19">
        <f t="shared" si="14"/>
        <v>22.901144000000002</v>
      </c>
      <c r="I7" s="19">
        <f t="shared" si="14"/>
        <v>22.004668000000002</v>
      </c>
      <c r="J7" s="19">
        <f t="shared" ref="J7:L7" si="15">J5-J6</f>
        <v>21.108192000000003</v>
      </c>
      <c r="K7" s="19">
        <f t="shared" si="15"/>
        <v>20.211716000000003</v>
      </c>
      <c r="L7" s="19">
        <f t="shared" si="15"/>
        <v>19.315240000000003</v>
      </c>
      <c r="O7" s="6" t="s">
        <v>48</v>
      </c>
      <c r="P7" s="19">
        <f t="shared" ref="P7:V7" si="16">P5-P6</f>
        <v>25.452000000000002</v>
      </c>
      <c r="Q7" s="19">
        <f t="shared" si="16"/>
        <v>22.9068</v>
      </c>
      <c r="R7" s="19">
        <f t="shared" si="16"/>
        <v>20.616120000000002</v>
      </c>
      <c r="S7" s="19">
        <f t="shared" si="16"/>
        <v>18.554508000000002</v>
      </c>
      <c r="T7" s="19">
        <f t="shared" si="16"/>
        <v>16.699057200000002</v>
      </c>
      <c r="U7" s="19">
        <f t="shared" si="16"/>
        <v>15.029151480000001</v>
      </c>
      <c r="V7" s="19">
        <f t="shared" si="16"/>
        <v>13.526236332000002</v>
      </c>
      <c r="W7" s="19">
        <f t="shared" ref="W7:Y7" si="17">W5-W6</f>
        <v>12.173612698800001</v>
      </c>
      <c r="X7" s="19">
        <f t="shared" si="17"/>
        <v>10.956251428920002</v>
      </c>
      <c r="Y7" s="19">
        <f t="shared" si="17"/>
        <v>9.8606262860280012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3.4750000000000001</v>
      </c>
      <c r="D10" s="19">
        <f>C12</f>
        <v>3.2550325</v>
      </c>
      <c r="E10" s="19">
        <f t="shared" ref="E10:I10" si="18">D12</f>
        <v>3.0350649999999999</v>
      </c>
      <c r="F10" s="19">
        <f t="shared" si="18"/>
        <v>2.8150974999999998</v>
      </c>
      <c r="G10" s="19">
        <f t="shared" si="18"/>
        <v>2.5951299999999997</v>
      </c>
      <c r="H10" s="19">
        <f t="shared" si="18"/>
        <v>2.3751624999999996</v>
      </c>
      <c r="I10" s="19">
        <f t="shared" si="18"/>
        <v>2.1551949999999995</v>
      </c>
      <c r="J10" s="19">
        <f t="shared" ref="J10" si="19">I12</f>
        <v>1.9352274999999994</v>
      </c>
      <c r="K10" s="19">
        <f t="shared" ref="K10" si="20">J12</f>
        <v>1.7152599999999993</v>
      </c>
      <c r="L10" s="19">
        <f t="shared" ref="L10" si="21">K12</f>
        <v>1.4952924999999992</v>
      </c>
      <c r="O10" s="21" t="s">
        <v>50</v>
      </c>
      <c r="P10" s="19">
        <f>C10</f>
        <v>3.4750000000000001</v>
      </c>
      <c r="Q10" s="19">
        <f>P12</f>
        <v>2.9537500000000003</v>
      </c>
      <c r="R10" s="19">
        <f t="shared" ref="R10:V10" si="22">Q12</f>
        <v>2.5106875000000004</v>
      </c>
      <c r="S10" s="19">
        <f t="shared" si="22"/>
        <v>2.1340843750000005</v>
      </c>
      <c r="T10" s="19">
        <f t="shared" si="22"/>
        <v>1.8139717187500004</v>
      </c>
      <c r="U10" s="19">
        <f t="shared" si="22"/>
        <v>1.5418759609375003</v>
      </c>
      <c r="V10" s="19">
        <f t="shared" si="22"/>
        <v>1.3105945667968752</v>
      </c>
      <c r="W10" s="19">
        <f t="shared" ref="W10" si="23">V12</f>
        <v>1.1140053817773439</v>
      </c>
      <c r="X10" s="19">
        <f t="shared" ref="X10" si="24">W12</f>
        <v>0.94690457451074228</v>
      </c>
      <c r="Y10" s="19">
        <f t="shared" ref="Y10" si="25">X12</f>
        <v>0.80486888833413095</v>
      </c>
    </row>
    <row r="11" spans="2:25" x14ac:dyDescent="0.25">
      <c r="B11" s="21" t="s">
        <v>51</v>
      </c>
      <c r="C11" s="19">
        <f>C10*6.33%</f>
        <v>0.21996749999999998</v>
      </c>
      <c r="D11" s="19">
        <f>C11</f>
        <v>0.21996749999999998</v>
      </c>
      <c r="E11" s="19">
        <f t="shared" ref="E11:I11" si="26">D11</f>
        <v>0.21996749999999998</v>
      </c>
      <c r="F11" s="19">
        <f t="shared" si="26"/>
        <v>0.21996749999999998</v>
      </c>
      <c r="G11" s="19">
        <f t="shared" si="26"/>
        <v>0.21996749999999998</v>
      </c>
      <c r="H11" s="19">
        <f t="shared" si="26"/>
        <v>0.21996749999999998</v>
      </c>
      <c r="I11" s="19">
        <f t="shared" si="26"/>
        <v>0.21996749999999998</v>
      </c>
      <c r="J11" s="19">
        <f t="shared" ref="J11" si="27">I11</f>
        <v>0.21996749999999998</v>
      </c>
      <c r="K11" s="19">
        <f t="shared" ref="K11" si="28">J11</f>
        <v>0.21996749999999998</v>
      </c>
      <c r="L11" s="19">
        <f t="shared" ref="L11" si="29">K11</f>
        <v>0.21996749999999998</v>
      </c>
      <c r="O11" s="21" t="s">
        <v>52</v>
      </c>
      <c r="P11" s="19">
        <f>P10*15%</f>
        <v>0.52124999999999999</v>
      </c>
      <c r="Q11" s="19">
        <f t="shared" ref="Q11:V11" si="30">Q10*15%</f>
        <v>0.44306250000000003</v>
      </c>
      <c r="R11" s="19">
        <f t="shared" si="30"/>
        <v>0.37660312500000004</v>
      </c>
      <c r="S11" s="19">
        <f t="shared" si="30"/>
        <v>0.32011265625000007</v>
      </c>
      <c r="T11" s="19">
        <f t="shared" si="30"/>
        <v>0.27209575781250006</v>
      </c>
      <c r="U11" s="19">
        <f t="shared" si="30"/>
        <v>0.23128139414062504</v>
      </c>
      <c r="V11" s="19">
        <f t="shared" si="30"/>
        <v>0.19658918501953129</v>
      </c>
      <c r="W11" s="19">
        <f t="shared" ref="W11:Y11" si="31">W10*15%</f>
        <v>0.16710080726660156</v>
      </c>
      <c r="X11" s="19">
        <f t="shared" si="31"/>
        <v>0.14203568617661133</v>
      </c>
      <c r="Y11" s="19">
        <f t="shared" si="31"/>
        <v>0.12073033325011964</v>
      </c>
    </row>
    <row r="12" spans="2:25" x14ac:dyDescent="0.25">
      <c r="B12" s="6" t="s">
        <v>48</v>
      </c>
      <c r="C12" s="19">
        <f>C10-C11</f>
        <v>3.2550325</v>
      </c>
      <c r="D12" s="19">
        <f t="shared" ref="D12:I12" si="32">D10-D11</f>
        <v>3.0350649999999999</v>
      </c>
      <c r="E12" s="19">
        <f t="shared" si="32"/>
        <v>2.8150974999999998</v>
      </c>
      <c r="F12" s="19">
        <f t="shared" si="32"/>
        <v>2.5951299999999997</v>
      </c>
      <c r="G12" s="19">
        <f t="shared" si="32"/>
        <v>2.3751624999999996</v>
      </c>
      <c r="H12" s="19">
        <f t="shared" si="32"/>
        <v>2.1551949999999995</v>
      </c>
      <c r="I12" s="19">
        <f t="shared" si="32"/>
        <v>1.9352274999999994</v>
      </c>
      <c r="J12" s="19">
        <f t="shared" ref="J12:L12" si="33">J10-J11</f>
        <v>1.7152599999999993</v>
      </c>
      <c r="K12" s="19">
        <f t="shared" si="33"/>
        <v>1.4952924999999992</v>
      </c>
      <c r="L12" s="19">
        <f t="shared" si="33"/>
        <v>1.2753249999999992</v>
      </c>
      <c r="O12" s="6" t="s">
        <v>48</v>
      </c>
      <c r="P12" s="19">
        <f t="shared" ref="P12:V12" si="34">P10-P11</f>
        <v>2.9537500000000003</v>
      </c>
      <c r="Q12" s="19">
        <f t="shared" si="34"/>
        <v>2.5106875000000004</v>
      </c>
      <c r="R12" s="19">
        <f t="shared" si="34"/>
        <v>2.1340843750000005</v>
      </c>
      <c r="S12" s="19">
        <f t="shared" si="34"/>
        <v>1.8139717187500004</v>
      </c>
      <c r="T12" s="19">
        <f t="shared" si="34"/>
        <v>1.5418759609375003</v>
      </c>
      <c r="U12" s="19">
        <f t="shared" si="34"/>
        <v>1.3105945667968752</v>
      </c>
      <c r="V12" s="19">
        <f t="shared" si="34"/>
        <v>1.1140053817773439</v>
      </c>
      <c r="W12" s="19">
        <f t="shared" ref="W12:Y12" si="35">W10-W11</f>
        <v>0.94690457451074228</v>
      </c>
      <c r="X12" s="19">
        <f t="shared" si="35"/>
        <v>0.80486888833413095</v>
      </c>
      <c r="Y12" s="19">
        <f t="shared" si="35"/>
        <v>0.68413855508401133</v>
      </c>
    </row>
    <row r="13" spans="2:25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31.755000000000003</v>
      </c>
      <c r="D19" s="22">
        <f t="shared" ref="D19:I21" si="54">D5+D10+D15</f>
        <v>30.6385565</v>
      </c>
      <c r="E19" s="22">
        <f t="shared" si="54"/>
        <v>29.522113000000001</v>
      </c>
      <c r="F19" s="22">
        <f t="shared" si="54"/>
        <v>28.405669500000002</v>
      </c>
      <c r="G19" s="22">
        <f t="shared" si="54"/>
        <v>27.289226000000003</v>
      </c>
      <c r="H19" s="22">
        <f t="shared" si="54"/>
        <v>26.1727825</v>
      </c>
      <c r="I19" s="22">
        <f t="shared" si="54"/>
        <v>25.056339000000001</v>
      </c>
      <c r="J19" s="22">
        <f t="shared" ref="J19:L19" si="55">J5+J10+J15</f>
        <v>23.939895500000002</v>
      </c>
      <c r="K19" s="22">
        <f t="shared" si="55"/>
        <v>22.823452000000003</v>
      </c>
      <c r="L19" s="22">
        <f t="shared" si="55"/>
        <v>21.707008500000001</v>
      </c>
      <c r="O19" s="20" t="s">
        <v>56</v>
      </c>
      <c r="P19" s="22">
        <f>P5+P10+P15</f>
        <v>31.755000000000003</v>
      </c>
      <c r="Q19" s="22">
        <f t="shared" ref="Q19:V21" si="56">Q5+Q10+Q15</f>
        <v>28.405750000000001</v>
      </c>
      <c r="R19" s="22">
        <f t="shared" si="56"/>
        <v>25.4174875</v>
      </c>
      <c r="S19" s="22">
        <f t="shared" si="56"/>
        <v>22.750204375000003</v>
      </c>
      <c r="T19" s="22">
        <f t="shared" si="56"/>
        <v>20.368479718750002</v>
      </c>
      <c r="U19" s="22">
        <f t="shared" si="56"/>
        <v>18.240933160937502</v>
      </c>
      <c r="V19" s="22">
        <f t="shared" si="56"/>
        <v>16.339746046796876</v>
      </c>
      <c r="W19" s="22">
        <f t="shared" ref="W19:Y19" si="57">W5+W10+W15</f>
        <v>14.640241713777346</v>
      </c>
      <c r="X19" s="22">
        <f t="shared" si="57"/>
        <v>13.120517273310744</v>
      </c>
      <c r="Y19" s="22">
        <f t="shared" si="57"/>
        <v>11.761120317254132</v>
      </c>
    </row>
    <row r="20" spans="2:25" x14ac:dyDescent="0.25">
      <c r="B20" s="20" t="s">
        <v>57</v>
      </c>
      <c r="C20" s="22">
        <f t="shared" ref="C20:G21" si="58">C6+C11+C16</f>
        <v>1.1164434999999999</v>
      </c>
      <c r="D20" s="22">
        <f t="shared" si="58"/>
        <v>1.1164434999999999</v>
      </c>
      <c r="E20" s="22">
        <f t="shared" si="58"/>
        <v>1.1164434999999999</v>
      </c>
      <c r="F20" s="22">
        <f t="shared" si="58"/>
        <v>1.1164434999999999</v>
      </c>
      <c r="G20" s="22">
        <f t="shared" si="58"/>
        <v>1.1164434999999999</v>
      </c>
      <c r="H20" s="22">
        <f t="shared" si="54"/>
        <v>1.1164434999999999</v>
      </c>
      <c r="I20" s="22">
        <f t="shared" si="54"/>
        <v>1.1164434999999999</v>
      </c>
      <c r="J20" s="22">
        <f t="shared" ref="J20:L20" si="59">J6+J11+J16</f>
        <v>1.1164434999999999</v>
      </c>
      <c r="K20" s="22">
        <f t="shared" si="59"/>
        <v>1.1164434999999999</v>
      </c>
      <c r="L20" s="22">
        <f t="shared" si="59"/>
        <v>1.1164434999999999</v>
      </c>
      <c r="O20" s="20" t="s">
        <v>57</v>
      </c>
      <c r="P20" s="22">
        <f t="shared" ref="P20:T21" si="60">P6+P11+P16</f>
        <v>3.3492500000000005</v>
      </c>
      <c r="Q20" s="22">
        <f t="shared" si="60"/>
        <v>2.9882625000000003</v>
      </c>
      <c r="R20" s="22">
        <f t="shared" si="60"/>
        <v>2.667283125</v>
      </c>
      <c r="S20" s="22">
        <f t="shared" si="60"/>
        <v>2.3817246562500003</v>
      </c>
      <c r="T20" s="22">
        <f t="shared" si="60"/>
        <v>2.1275465578125003</v>
      </c>
      <c r="U20" s="22">
        <f t="shared" si="56"/>
        <v>1.9011871141406254</v>
      </c>
      <c r="V20" s="22">
        <f t="shared" si="56"/>
        <v>1.6995043330195316</v>
      </c>
      <c r="W20" s="22">
        <f t="shared" ref="W20:Y20" si="61">W6+W11+W16</f>
        <v>1.5197244404666019</v>
      </c>
      <c r="X20" s="22">
        <f t="shared" si="61"/>
        <v>1.3593969560566115</v>
      </c>
      <c r="Y20" s="22">
        <f t="shared" si="61"/>
        <v>1.21635547614212</v>
      </c>
    </row>
    <row r="21" spans="2:25" x14ac:dyDescent="0.25">
      <c r="B21" s="8" t="s">
        <v>48</v>
      </c>
      <c r="C21" s="22">
        <f t="shared" si="58"/>
        <v>30.6385565</v>
      </c>
      <c r="D21" s="22">
        <f t="shared" si="58"/>
        <v>29.522113000000001</v>
      </c>
      <c r="E21" s="22">
        <f t="shared" si="58"/>
        <v>28.405669500000002</v>
      </c>
      <c r="F21" s="22">
        <f t="shared" si="58"/>
        <v>27.289226000000003</v>
      </c>
      <c r="G21" s="22">
        <f t="shared" si="58"/>
        <v>26.1727825</v>
      </c>
      <c r="H21" s="22">
        <f t="shared" si="54"/>
        <v>25.056339000000001</v>
      </c>
      <c r="I21" s="22">
        <f t="shared" si="54"/>
        <v>23.939895500000002</v>
      </c>
      <c r="J21" s="22">
        <f t="shared" ref="J21:L21" si="62">J7+J12+J17</f>
        <v>22.823452000000003</v>
      </c>
      <c r="K21" s="22">
        <f t="shared" si="62"/>
        <v>21.707008500000001</v>
      </c>
      <c r="L21" s="22">
        <f t="shared" si="62"/>
        <v>20.590565000000002</v>
      </c>
      <c r="O21" s="8" t="s">
        <v>48</v>
      </c>
      <c r="P21" s="22">
        <f t="shared" si="60"/>
        <v>28.405750000000001</v>
      </c>
      <c r="Q21" s="22">
        <f t="shared" si="60"/>
        <v>25.4174875</v>
      </c>
      <c r="R21" s="22">
        <f t="shared" si="60"/>
        <v>22.750204375000003</v>
      </c>
      <c r="S21" s="22">
        <f t="shared" si="60"/>
        <v>20.368479718750002</v>
      </c>
      <c r="T21" s="22">
        <f t="shared" si="60"/>
        <v>18.240933160937502</v>
      </c>
      <c r="U21" s="22">
        <f t="shared" si="56"/>
        <v>16.339746046796876</v>
      </c>
      <c r="V21" s="22">
        <f t="shared" si="56"/>
        <v>14.640241713777346</v>
      </c>
      <c r="W21" s="22">
        <f t="shared" ref="W21:Y21" si="63">W7+W12+W17</f>
        <v>13.120517273310744</v>
      </c>
      <c r="X21" s="22">
        <f t="shared" si="63"/>
        <v>11.761120317254132</v>
      </c>
      <c r="Y21" s="22">
        <f t="shared" si="63"/>
        <v>10.544764841112013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topLeftCell="A13" zoomScale="80" zoomScaleNormal="100" zoomScaleSheetLayoutView="80" workbookViewId="0">
      <selection activeCell="A28" sqref="A28"/>
    </sheetView>
  </sheetViews>
  <sheetFormatPr defaultRowHeight="15" x14ac:dyDescent="0.25"/>
  <cols>
    <col min="1" max="1" width="42.140625" style="1" bestFit="1" customWidth="1"/>
    <col min="2" max="7" width="10.140625" style="1" bestFit="1" customWidth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5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2" t="s">
        <v>490</v>
      </c>
      <c r="J1" s="222" t="s">
        <v>491</v>
      </c>
      <c r="K1" s="222" t="s">
        <v>492</v>
      </c>
    </row>
    <row r="2" spans="1:15" x14ac:dyDescent="0.25">
      <c r="A2" s="28"/>
      <c r="B2" s="29"/>
      <c r="C2" s="29"/>
      <c r="D2" s="29"/>
      <c r="E2" s="29"/>
      <c r="F2" s="29"/>
      <c r="G2" s="29"/>
      <c r="H2" s="29"/>
      <c r="I2" s="220"/>
      <c r="J2" s="220"/>
      <c r="K2" s="220"/>
    </row>
    <row r="3" spans="1:15" x14ac:dyDescent="0.25">
      <c r="A3" s="30" t="s">
        <v>663</v>
      </c>
      <c r="B3" s="27"/>
      <c r="C3" s="27"/>
      <c r="D3" s="27"/>
      <c r="E3" s="27"/>
      <c r="F3" s="27"/>
      <c r="G3" s="27"/>
      <c r="H3" s="27"/>
      <c r="I3" s="220"/>
      <c r="J3" s="220"/>
      <c r="K3" s="220"/>
    </row>
    <row r="4" spans="1:15" x14ac:dyDescent="0.25">
      <c r="A4" s="26" t="s">
        <v>59</v>
      </c>
      <c r="B4" s="347" t="s">
        <v>702</v>
      </c>
      <c r="C4" s="348"/>
      <c r="D4" s="348"/>
      <c r="E4" s="348"/>
      <c r="F4" s="348"/>
      <c r="G4" s="348"/>
      <c r="H4" s="348"/>
      <c r="I4" s="348"/>
      <c r="J4" s="348"/>
      <c r="K4" s="349"/>
      <c r="M4" s="1" t="s">
        <v>627</v>
      </c>
      <c r="N4" s="1" t="s">
        <v>628</v>
      </c>
    </row>
    <row r="5" spans="1:15" x14ac:dyDescent="0.25">
      <c r="A5" s="26" t="s">
        <v>60</v>
      </c>
      <c r="B5" s="31">
        <f>1.5*300</f>
        <v>450</v>
      </c>
      <c r="C5" s="31">
        <f>+B5</f>
        <v>450</v>
      </c>
      <c r="D5" s="31">
        <f t="shared" ref="D5:K5" si="0">+C5</f>
        <v>450</v>
      </c>
      <c r="E5" s="31">
        <f t="shared" si="0"/>
        <v>450</v>
      </c>
      <c r="F5" s="31">
        <f t="shared" si="0"/>
        <v>450</v>
      </c>
      <c r="G5" s="31">
        <f t="shared" si="0"/>
        <v>450</v>
      </c>
      <c r="H5" s="31">
        <f t="shared" si="0"/>
        <v>450</v>
      </c>
      <c r="I5" s="31">
        <f t="shared" si="0"/>
        <v>450</v>
      </c>
      <c r="J5" s="31">
        <f t="shared" si="0"/>
        <v>450</v>
      </c>
      <c r="K5" s="31">
        <f t="shared" si="0"/>
        <v>450</v>
      </c>
    </row>
    <row r="6" spans="1:15" x14ac:dyDescent="0.25">
      <c r="A6" s="26" t="s">
        <v>682</v>
      </c>
      <c r="B6" s="31">
        <f>B5*0.5</f>
        <v>225</v>
      </c>
      <c r="C6" s="31">
        <f>+B6</f>
        <v>225</v>
      </c>
      <c r="D6" s="31">
        <f t="shared" ref="D6:K6" si="1">+C6</f>
        <v>225</v>
      </c>
      <c r="E6" s="31">
        <f t="shared" si="1"/>
        <v>225</v>
      </c>
      <c r="F6" s="31">
        <f t="shared" si="1"/>
        <v>225</v>
      </c>
      <c r="G6" s="31">
        <f t="shared" si="1"/>
        <v>225</v>
      </c>
      <c r="H6" s="31">
        <f t="shared" si="1"/>
        <v>225</v>
      </c>
      <c r="I6" s="31">
        <f t="shared" si="1"/>
        <v>225</v>
      </c>
      <c r="J6" s="31">
        <f t="shared" si="1"/>
        <v>225</v>
      </c>
      <c r="K6" s="31">
        <f t="shared" si="1"/>
        <v>225</v>
      </c>
    </row>
    <row r="7" spans="1:15" x14ac:dyDescent="0.25">
      <c r="A7" s="26" t="s">
        <v>683</v>
      </c>
      <c r="B7" s="31">
        <f>+B5-B6</f>
        <v>225</v>
      </c>
      <c r="C7" s="31">
        <f>+B7</f>
        <v>225</v>
      </c>
      <c r="D7" s="31">
        <f t="shared" ref="D7:K7" si="2">+C7</f>
        <v>225</v>
      </c>
      <c r="E7" s="31">
        <f t="shared" si="2"/>
        <v>225</v>
      </c>
      <c r="F7" s="31">
        <f t="shared" si="2"/>
        <v>225</v>
      </c>
      <c r="G7" s="31">
        <f t="shared" si="2"/>
        <v>225</v>
      </c>
      <c r="H7" s="31">
        <f t="shared" si="2"/>
        <v>225</v>
      </c>
      <c r="I7" s="31">
        <f t="shared" si="2"/>
        <v>225</v>
      </c>
      <c r="J7" s="31">
        <f t="shared" si="2"/>
        <v>225</v>
      </c>
      <c r="K7" s="31">
        <f t="shared" si="2"/>
        <v>225</v>
      </c>
    </row>
    <row r="8" spans="1:15" x14ac:dyDescent="0.25">
      <c r="A8" s="26" t="s">
        <v>154</v>
      </c>
      <c r="B8" s="32">
        <v>0.75</v>
      </c>
      <c r="C8" s="285">
        <v>0.75</v>
      </c>
      <c r="D8" s="285">
        <f t="shared" ref="D8" si="3">C8+5%</f>
        <v>0.8</v>
      </c>
      <c r="E8" s="285">
        <f t="shared" ref="E8:H8" si="4">D8+5%</f>
        <v>0.85000000000000009</v>
      </c>
      <c r="F8" s="285">
        <f t="shared" si="4"/>
        <v>0.90000000000000013</v>
      </c>
      <c r="G8" s="285">
        <f t="shared" si="4"/>
        <v>0.95000000000000018</v>
      </c>
      <c r="H8" s="285">
        <f t="shared" si="4"/>
        <v>1.0000000000000002</v>
      </c>
      <c r="I8" s="285">
        <f t="shared" ref="I8:K9" si="5">H8</f>
        <v>1.0000000000000002</v>
      </c>
      <c r="J8" s="285">
        <f t="shared" si="5"/>
        <v>1.0000000000000002</v>
      </c>
      <c r="K8" s="285">
        <f t="shared" si="5"/>
        <v>1.0000000000000002</v>
      </c>
    </row>
    <row r="9" spans="1:15" x14ac:dyDescent="0.25">
      <c r="A9" s="26" t="s">
        <v>155</v>
      </c>
      <c r="B9" s="32">
        <v>0.75</v>
      </c>
      <c r="C9" s="285">
        <v>0.75</v>
      </c>
      <c r="D9" s="285">
        <f t="shared" ref="D9" si="6">C9+5%</f>
        <v>0.8</v>
      </c>
      <c r="E9" s="285">
        <f t="shared" ref="E9:H9" si="7">D9+5%</f>
        <v>0.85000000000000009</v>
      </c>
      <c r="F9" s="285">
        <f t="shared" si="7"/>
        <v>0.90000000000000013</v>
      </c>
      <c r="G9" s="285">
        <f t="shared" si="7"/>
        <v>0.95000000000000018</v>
      </c>
      <c r="H9" s="285">
        <f t="shared" si="7"/>
        <v>1.0000000000000002</v>
      </c>
      <c r="I9" s="285">
        <f t="shared" si="5"/>
        <v>1.0000000000000002</v>
      </c>
      <c r="J9" s="285">
        <f t="shared" si="5"/>
        <v>1.0000000000000002</v>
      </c>
      <c r="K9" s="285">
        <f t="shared" si="5"/>
        <v>1.0000000000000002</v>
      </c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x14ac:dyDescent="0.25">
      <c r="A11" s="8" t="s">
        <v>156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x14ac:dyDescent="0.25">
      <c r="A12" s="6" t="s">
        <v>665</v>
      </c>
      <c r="B12" s="6">
        <f>B6*B8</f>
        <v>168.75</v>
      </c>
      <c r="C12" s="6">
        <f t="shared" ref="C12:K12" si="8">C6*C8</f>
        <v>168.75</v>
      </c>
      <c r="D12" s="6">
        <f t="shared" si="8"/>
        <v>180</v>
      </c>
      <c r="E12" s="6">
        <f t="shared" si="8"/>
        <v>191.25000000000003</v>
      </c>
      <c r="F12" s="6">
        <f t="shared" si="8"/>
        <v>202.50000000000003</v>
      </c>
      <c r="G12" s="6">
        <f t="shared" si="8"/>
        <v>213.75000000000003</v>
      </c>
      <c r="H12" s="6">
        <f t="shared" si="8"/>
        <v>225.00000000000006</v>
      </c>
      <c r="I12" s="6">
        <f t="shared" si="8"/>
        <v>225.00000000000006</v>
      </c>
      <c r="J12" s="6">
        <f t="shared" si="8"/>
        <v>225.00000000000006</v>
      </c>
      <c r="K12" s="6">
        <f t="shared" si="8"/>
        <v>225.00000000000006</v>
      </c>
    </row>
    <row r="13" spans="1:15" x14ac:dyDescent="0.25">
      <c r="A13" s="33" t="s">
        <v>61</v>
      </c>
      <c r="B13" s="294">
        <v>2300</v>
      </c>
      <c r="C13" s="295">
        <f t="shared" ref="C13:F13" si="9">ROUND(B13*1.05,0)</f>
        <v>2415</v>
      </c>
      <c r="D13" s="295">
        <f t="shared" si="9"/>
        <v>2536</v>
      </c>
      <c r="E13" s="295">
        <f t="shared" si="9"/>
        <v>2663</v>
      </c>
      <c r="F13" s="295">
        <f t="shared" si="9"/>
        <v>2796</v>
      </c>
      <c r="G13" s="295">
        <v>2800</v>
      </c>
      <c r="H13" s="295">
        <f>+G13</f>
        <v>2800</v>
      </c>
      <c r="I13" s="295">
        <f t="shared" ref="I13:K13" si="10">+H13</f>
        <v>2800</v>
      </c>
      <c r="J13" s="295">
        <f t="shared" si="10"/>
        <v>2800</v>
      </c>
      <c r="K13" s="295">
        <f t="shared" si="10"/>
        <v>2800</v>
      </c>
      <c r="M13" s="25"/>
    </row>
    <row r="14" spans="1:15" x14ac:dyDescent="0.25">
      <c r="A14" s="34" t="s">
        <v>72</v>
      </c>
      <c r="B14" s="35">
        <f>B12*B13/100000</f>
        <v>3.8812500000000001</v>
      </c>
      <c r="C14" s="35">
        <f t="shared" ref="C14:K14" si="11">C12*C13/100000</f>
        <v>4.0753124999999999</v>
      </c>
      <c r="D14" s="35">
        <f t="shared" si="11"/>
        <v>4.5648</v>
      </c>
      <c r="E14" s="35">
        <f t="shared" si="11"/>
        <v>5.0929875000000004</v>
      </c>
      <c r="F14" s="35">
        <f t="shared" si="11"/>
        <v>5.661900000000001</v>
      </c>
      <c r="G14" s="35">
        <f t="shared" si="11"/>
        <v>5.9850000000000012</v>
      </c>
      <c r="H14" s="35">
        <f t="shared" si="11"/>
        <v>6.3000000000000016</v>
      </c>
      <c r="I14" s="35">
        <f t="shared" si="11"/>
        <v>6.3000000000000016</v>
      </c>
      <c r="J14" s="35">
        <f t="shared" si="11"/>
        <v>6.3000000000000016</v>
      </c>
      <c r="K14" s="35">
        <f t="shared" si="11"/>
        <v>6.3000000000000016</v>
      </c>
      <c r="O14" s="1">
        <f>375000</f>
        <v>375000</v>
      </c>
    </row>
    <row r="15" spans="1:15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O15" s="1">
        <f>O14/25</f>
        <v>15000</v>
      </c>
    </row>
    <row r="16" spans="1:15" x14ac:dyDescent="0.25">
      <c r="A16" s="34" t="s">
        <v>157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664</v>
      </c>
      <c r="B17" s="6">
        <f>ROUND(B7*B9*$L17,2)</f>
        <v>101.25</v>
      </c>
      <c r="C17" s="6">
        <f t="shared" ref="C17:K17" si="12">ROUND(C7*C9*$L17,2)</f>
        <v>101.25</v>
      </c>
      <c r="D17" s="6">
        <f t="shared" si="12"/>
        <v>108</v>
      </c>
      <c r="E17" s="6">
        <f t="shared" si="12"/>
        <v>114.75</v>
      </c>
      <c r="F17" s="6">
        <f t="shared" si="12"/>
        <v>121.5</v>
      </c>
      <c r="G17" s="6">
        <f t="shared" si="12"/>
        <v>128.25</v>
      </c>
      <c r="H17" s="6">
        <f t="shared" si="12"/>
        <v>135</v>
      </c>
      <c r="I17" s="6">
        <f t="shared" si="12"/>
        <v>135</v>
      </c>
      <c r="J17" s="6">
        <f t="shared" si="12"/>
        <v>135</v>
      </c>
      <c r="K17" s="6">
        <f t="shared" si="12"/>
        <v>135</v>
      </c>
      <c r="L17" s="38">
        <v>0.6</v>
      </c>
    </row>
    <row r="18" spans="1:16" x14ac:dyDescent="0.25">
      <c r="A18" s="6" t="s">
        <v>672</v>
      </c>
      <c r="B18" s="6">
        <f>ROUND(B7*B9*$L18,2)</f>
        <v>67.5</v>
      </c>
      <c r="C18" s="6">
        <f t="shared" ref="C18:K18" si="13">ROUND(C7*C9*$L18,2)</f>
        <v>67.5</v>
      </c>
      <c r="D18" s="6">
        <f t="shared" si="13"/>
        <v>72</v>
      </c>
      <c r="E18" s="6">
        <f t="shared" si="13"/>
        <v>76.5</v>
      </c>
      <c r="F18" s="6">
        <f t="shared" si="13"/>
        <v>81</v>
      </c>
      <c r="G18" s="6">
        <f t="shared" si="13"/>
        <v>85.5</v>
      </c>
      <c r="H18" s="6">
        <f t="shared" si="13"/>
        <v>90</v>
      </c>
      <c r="I18" s="6">
        <f t="shared" si="13"/>
        <v>90</v>
      </c>
      <c r="J18" s="6">
        <f t="shared" si="13"/>
        <v>90</v>
      </c>
      <c r="K18" s="6">
        <f t="shared" si="13"/>
        <v>90</v>
      </c>
      <c r="L18" s="38">
        <v>0.4</v>
      </c>
    </row>
    <row r="19" spans="1:16" hidden="1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hidden="1" x14ac:dyDescent="0.25">
      <c r="A20" s="36" t="s">
        <v>624</v>
      </c>
      <c r="B20" s="37">
        <f>B17*$L$20</f>
        <v>50.625</v>
      </c>
      <c r="C20" s="37">
        <f t="shared" ref="C20:K20" si="14">C17*$L$20</f>
        <v>50.625</v>
      </c>
      <c r="D20" s="37">
        <f t="shared" si="14"/>
        <v>54</v>
      </c>
      <c r="E20" s="37">
        <f t="shared" si="14"/>
        <v>57.375</v>
      </c>
      <c r="F20" s="37">
        <f t="shared" si="14"/>
        <v>60.75</v>
      </c>
      <c r="G20" s="37">
        <f t="shared" si="14"/>
        <v>64.125</v>
      </c>
      <c r="H20" s="37">
        <f t="shared" si="14"/>
        <v>67.5</v>
      </c>
      <c r="I20" s="37">
        <f t="shared" si="14"/>
        <v>67.5</v>
      </c>
      <c r="J20" s="37">
        <f t="shared" si="14"/>
        <v>67.5</v>
      </c>
      <c r="K20" s="37">
        <f t="shared" si="14"/>
        <v>67.5</v>
      </c>
      <c r="L20" s="266">
        <v>0.5</v>
      </c>
    </row>
    <row r="21" spans="1:16" hidden="1" x14ac:dyDescent="0.25">
      <c r="A21" s="36" t="s">
        <v>606</v>
      </c>
      <c r="B21" s="37">
        <f>B17*$L$21</f>
        <v>20.25</v>
      </c>
      <c r="C21" s="37">
        <f t="shared" ref="C21:K21" si="15">C17*$L$21</f>
        <v>20.25</v>
      </c>
      <c r="D21" s="37">
        <f t="shared" si="15"/>
        <v>21.6</v>
      </c>
      <c r="E21" s="37">
        <f t="shared" si="15"/>
        <v>22.950000000000003</v>
      </c>
      <c r="F21" s="37">
        <f t="shared" si="15"/>
        <v>24.3</v>
      </c>
      <c r="G21" s="37">
        <f t="shared" si="15"/>
        <v>25.650000000000002</v>
      </c>
      <c r="H21" s="37">
        <f t="shared" si="15"/>
        <v>27</v>
      </c>
      <c r="I21" s="37">
        <f t="shared" si="15"/>
        <v>27</v>
      </c>
      <c r="J21" s="37">
        <f t="shared" si="15"/>
        <v>27</v>
      </c>
      <c r="K21" s="37">
        <f t="shared" si="15"/>
        <v>27</v>
      </c>
      <c r="L21" s="266">
        <v>0.2</v>
      </c>
    </row>
    <row r="22" spans="1:16" hidden="1" x14ac:dyDescent="0.25">
      <c r="A22" s="36" t="s">
        <v>557</v>
      </c>
      <c r="B22" s="37">
        <f>ROUND(B17*$L$22,0)</f>
        <v>20</v>
      </c>
      <c r="C22" s="37">
        <f t="shared" ref="C22:K22" si="16">ROUND(C17*$L$22,0)</f>
        <v>20</v>
      </c>
      <c r="D22" s="37">
        <f t="shared" si="16"/>
        <v>22</v>
      </c>
      <c r="E22" s="37">
        <f t="shared" si="16"/>
        <v>23</v>
      </c>
      <c r="F22" s="37">
        <f t="shared" si="16"/>
        <v>24</v>
      </c>
      <c r="G22" s="37">
        <f t="shared" si="16"/>
        <v>26</v>
      </c>
      <c r="H22" s="37">
        <f t="shared" si="16"/>
        <v>27</v>
      </c>
      <c r="I22" s="37">
        <f t="shared" si="16"/>
        <v>27</v>
      </c>
      <c r="J22" s="37">
        <f t="shared" si="16"/>
        <v>27</v>
      </c>
      <c r="K22" s="37">
        <f t="shared" si="16"/>
        <v>27</v>
      </c>
      <c r="L22" s="266">
        <v>0.2</v>
      </c>
    </row>
    <row r="23" spans="1:16" hidden="1" x14ac:dyDescent="0.25">
      <c r="A23" s="36" t="s">
        <v>607</v>
      </c>
      <c r="B23" s="37">
        <f>B17*$L$23</f>
        <v>8.1</v>
      </c>
      <c r="C23" s="37">
        <f t="shared" ref="C23:K23" si="17">C17*$L$23</f>
        <v>8.1</v>
      </c>
      <c r="D23" s="37">
        <f t="shared" si="17"/>
        <v>8.64</v>
      </c>
      <c r="E23" s="37">
        <f t="shared" si="17"/>
        <v>9.18</v>
      </c>
      <c r="F23" s="37">
        <f t="shared" si="17"/>
        <v>9.7200000000000006</v>
      </c>
      <c r="G23" s="37">
        <f t="shared" si="17"/>
        <v>10.26</v>
      </c>
      <c r="H23" s="37">
        <f t="shared" si="17"/>
        <v>10.8</v>
      </c>
      <c r="I23" s="37">
        <f t="shared" si="17"/>
        <v>10.8</v>
      </c>
      <c r="J23" s="37">
        <f t="shared" si="17"/>
        <v>10.8</v>
      </c>
      <c r="K23" s="37">
        <f t="shared" si="17"/>
        <v>10.8</v>
      </c>
      <c r="L23" s="266">
        <v>0.08</v>
      </c>
    </row>
    <row r="24" spans="1:16" hidden="1" x14ac:dyDescent="0.25">
      <c r="A24" s="36" t="s">
        <v>63</v>
      </c>
      <c r="B24" s="37">
        <v>0</v>
      </c>
      <c r="C24" s="37">
        <f t="shared" ref="C24:H24" si="18">C12*$L$24</f>
        <v>0</v>
      </c>
      <c r="D24" s="37">
        <f t="shared" si="18"/>
        <v>0</v>
      </c>
      <c r="E24" s="37">
        <f t="shared" si="18"/>
        <v>0</v>
      </c>
      <c r="F24" s="37">
        <f t="shared" si="18"/>
        <v>0</v>
      </c>
      <c r="G24" s="37">
        <f t="shared" si="18"/>
        <v>0</v>
      </c>
      <c r="H24" s="37">
        <f t="shared" si="18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666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">
        <v>667</v>
      </c>
      <c r="B27" s="37">
        <f>ROUND(B$17*$L$27,0)</f>
        <v>74</v>
      </c>
      <c r="C27" s="37">
        <f t="shared" ref="C27:K27" si="19">ROUND(C$17*$L$27,0)</f>
        <v>74</v>
      </c>
      <c r="D27" s="37">
        <f t="shared" si="19"/>
        <v>79</v>
      </c>
      <c r="E27" s="37">
        <f t="shared" si="19"/>
        <v>84</v>
      </c>
      <c r="F27" s="37">
        <f t="shared" si="19"/>
        <v>89</v>
      </c>
      <c r="G27" s="37">
        <f t="shared" si="19"/>
        <v>94</v>
      </c>
      <c r="H27" s="37">
        <f t="shared" si="19"/>
        <v>99</v>
      </c>
      <c r="I27" s="37">
        <f t="shared" si="19"/>
        <v>99</v>
      </c>
      <c r="J27" s="37">
        <f t="shared" si="19"/>
        <v>99</v>
      </c>
      <c r="K27" s="37">
        <f t="shared" si="19"/>
        <v>99</v>
      </c>
      <c r="L27" s="266">
        <v>0.73</v>
      </c>
      <c r="M27" s="25">
        <f>+'CS-FG'!C35</f>
        <v>85000</v>
      </c>
      <c r="N27" s="25">
        <f>M27*L27</f>
        <v>62050</v>
      </c>
    </row>
    <row r="28" spans="1:16" x14ac:dyDescent="0.25">
      <c r="A28" s="36" t="s">
        <v>679</v>
      </c>
      <c r="B28" s="37">
        <f>ROUND(B$17*$L$28,0)</f>
        <v>25</v>
      </c>
      <c r="C28" s="37">
        <f t="shared" ref="C28:K28" si="20">ROUND(C$17*$L$28,0)</f>
        <v>25</v>
      </c>
      <c r="D28" s="37">
        <f t="shared" si="20"/>
        <v>27</v>
      </c>
      <c r="E28" s="37">
        <f t="shared" si="20"/>
        <v>29</v>
      </c>
      <c r="F28" s="37">
        <f t="shared" si="20"/>
        <v>30</v>
      </c>
      <c r="G28" s="37">
        <f t="shared" si="20"/>
        <v>32</v>
      </c>
      <c r="H28" s="37">
        <f t="shared" si="20"/>
        <v>34</v>
      </c>
      <c r="I28" s="37">
        <f t="shared" si="20"/>
        <v>34</v>
      </c>
      <c r="J28" s="37">
        <f t="shared" si="20"/>
        <v>34</v>
      </c>
      <c r="K28" s="37">
        <f t="shared" si="20"/>
        <v>34</v>
      </c>
      <c r="L28" s="266">
        <v>0.25</v>
      </c>
      <c r="M28" s="25">
        <f>+'CS-FG'!C36</f>
        <v>20000</v>
      </c>
      <c r="N28" s="25">
        <f t="shared" ref="N28:N30" si="21">M28*L28</f>
        <v>5000</v>
      </c>
    </row>
    <row r="29" spans="1:16" hidden="1" x14ac:dyDescent="0.25">
      <c r="A29" s="36" t="s">
        <v>677</v>
      </c>
      <c r="B29" s="37">
        <f>ROUND(B$17*$L$29,0)</f>
        <v>0</v>
      </c>
      <c r="C29" s="37">
        <f t="shared" ref="C29:K29" si="22">ROUND(C$17*$L$29,0)</f>
        <v>0</v>
      </c>
      <c r="D29" s="37">
        <f t="shared" si="22"/>
        <v>0</v>
      </c>
      <c r="E29" s="37">
        <f t="shared" si="22"/>
        <v>0</v>
      </c>
      <c r="F29" s="37">
        <f t="shared" si="22"/>
        <v>0</v>
      </c>
      <c r="G29" s="37">
        <f t="shared" si="22"/>
        <v>0</v>
      </c>
      <c r="H29" s="37">
        <f t="shared" si="22"/>
        <v>0</v>
      </c>
      <c r="I29" s="37">
        <f t="shared" si="22"/>
        <v>0</v>
      </c>
      <c r="J29" s="37">
        <f t="shared" si="22"/>
        <v>0</v>
      </c>
      <c r="K29" s="37">
        <f t="shared" si="22"/>
        <v>0</v>
      </c>
      <c r="L29" s="266">
        <v>0</v>
      </c>
      <c r="M29" s="25">
        <f>+'CS-FG'!C37</f>
        <v>0</v>
      </c>
      <c r="N29" s="25">
        <f t="shared" si="21"/>
        <v>0</v>
      </c>
    </row>
    <row r="30" spans="1:16" hidden="1" x14ac:dyDescent="0.25">
      <c r="A30" s="36" t="s">
        <v>678</v>
      </c>
      <c r="B30" s="37">
        <f>ROUND(B$17*$L$30,0)</f>
        <v>0</v>
      </c>
      <c r="C30" s="37">
        <f t="shared" ref="C30:K30" si="23">ROUND(C$17*$L$30,0)</f>
        <v>0</v>
      </c>
      <c r="D30" s="37">
        <f t="shared" si="23"/>
        <v>0</v>
      </c>
      <c r="E30" s="37">
        <f t="shared" si="23"/>
        <v>0</v>
      </c>
      <c r="F30" s="37">
        <f t="shared" si="23"/>
        <v>0</v>
      </c>
      <c r="G30" s="37">
        <f t="shared" si="23"/>
        <v>0</v>
      </c>
      <c r="H30" s="37">
        <f t="shared" si="23"/>
        <v>0</v>
      </c>
      <c r="I30" s="37">
        <f t="shared" si="23"/>
        <v>0</v>
      </c>
      <c r="J30" s="37">
        <f t="shared" si="23"/>
        <v>0</v>
      </c>
      <c r="K30" s="37">
        <f t="shared" si="23"/>
        <v>0</v>
      </c>
      <c r="L30" s="266">
        <v>0</v>
      </c>
      <c r="M30" s="25">
        <f>+'CS-FG'!C38</f>
        <v>0</v>
      </c>
      <c r="N30" s="25">
        <f t="shared" si="21"/>
        <v>0</v>
      </c>
    </row>
    <row r="31" spans="1:16" x14ac:dyDescent="0.25">
      <c r="A31" s="36" t="s">
        <v>668</v>
      </c>
      <c r="B31" s="37">
        <f>ROUND(B$17*$L$31,0)</f>
        <v>2</v>
      </c>
      <c r="C31" s="37">
        <f t="shared" ref="C31:K31" si="24">ROUND(C$17*$L$31,0)</f>
        <v>2</v>
      </c>
      <c r="D31" s="37">
        <f t="shared" si="24"/>
        <v>2</v>
      </c>
      <c r="E31" s="37">
        <f t="shared" si="24"/>
        <v>2</v>
      </c>
      <c r="F31" s="37">
        <f t="shared" si="24"/>
        <v>2</v>
      </c>
      <c r="G31" s="37">
        <f t="shared" si="24"/>
        <v>3</v>
      </c>
      <c r="H31" s="37">
        <f t="shared" si="24"/>
        <v>3</v>
      </c>
      <c r="I31" s="37">
        <f t="shared" si="24"/>
        <v>3</v>
      </c>
      <c r="J31" s="37">
        <f t="shared" si="24"/>
        <v>3</v>
      </c>
      <c r="K31" s="37">
        <f t="shared" si="24"/>
        <v>3</v>
      </c>
      <c r="L31" s="266">
        <v>0.02</v>
      </c>
      <c r="M31" s="25">
        <f>+'CS-FG'!C39</f>
        <v>0</v>
      </c>
      <c r="N31" s="25"/>
    </row>
    <row r="32" spans="1:16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4" x14ac:dyDescent="0.25">
      <c r="A33" s="8" t="s">
        <v>669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4" x14ac:dyDescent="0.25">
      <c r="A34" s="36" t="s">
        <v>670</v>
      </c>
      <c r="B34" s="37">
        <f>ROUND(B$18*$L34,0)</f>
        <v>51</v>
      </c>
      <c r="C34" s="37">
        <f t="shared" ref="C34:K37" si="25">ROUND(C$18*$L34,0)</f>
        <v>51</v>
      </c>
      <c r="D34" s="37">
        <f t="shared" si="25"/>
        <v>54</v>
      </c>
      <c r="E34" s="37">
        <f t="shared" si="25"/>
        <v>57</v>
      </c>
      <c r="F34" s="37">
        <f t="shared" si="25"/>
        <v>61</v>
      </c>
      <c r="G34" s="37">
        <f t="shared" si="25"/>
        <v>64</v>
      </c>
      <c r="H34" s="37">
        <f t="shared" si="25"/>
        <v>68</v>
      </c>
      <c r="I34" s="37">
        <f t="shared" si="25"/>
        <v>68</v>
      </c>
      <c r="J34" s="37">
        <f t="shared" si="25"/>
        <v>68</v>
      </c>
      <c r="K34" s="37">
        <f t="shared" si="25"/>
        <v>68</v>
      </c>
      <c r="L34" s="266">
        <v>0.75</v>
      </c>
      <c r="M34" s="25">
        <f>+'CS-FG'!C93</f>
        <v>80000</v>
      </c>
      <c r="N34" s="25">
        <f>M34*L34</f>
        <v>60000</v>
      </c>
    </row>
    <row r="35" spans="1:14" x14ac:dyDescent="0.25">
      <c r="A35" s="36" t="s">
        <v>680</v>
      </c>
      <c r="B35" s="37">
        <f>ROUND(B$18*$L35,0)</f>
        <v>5</v>
      </c>
      <c r="C35" s="37">
        <f t="shared" si="25"/>
        <v>5</v>
      </c>
      <c r="D35" s="37">
        <f t="shared" si="25"/>
        <v>6</v>
      </c>
      <c r="E35" s="37">
        <f t="shared" si="25"/>
        <v>6</v>
      </c>
      <c r="F35" s="37">
        <f t="shared" si="25"/>
        <v>6</v>
      </c>
      <c r="G35" s="37">
        <f t="shared" si="25"/>
        <v>7</v>
      </c>
      <c r="H35" s="37">
        <f t="shared" si="25"/>
        <v>7</v>
      </c>
      <c r="I35" s="37">
        <f t="shared" si="25"/>
        <v>7</v>
      </c>
      <c r="J35" s="37">
        <f t="shared" si="25"/>
        <v>7</v>
      </c>
      <c r="K35" s="37">
        <f t="shared" si="25"/>
        <v>7</v>
      </c>
      <c r="L35" s="266">
        <v>0.08</v>
      </c>
      <c r="M35" s="25">
        <f>+'CS-FG'!C94</f>
        <v>15000</v>
      </c>
      <c r="N35" s="25">
        <f t="shared" ref="N35:N37" si="26">M35*L35</f>
        <v>1200</v>
      </c>
    </row>
    <row r="36" spans="1:14" x14ac:dyDescent="0.25">
      <c r="A36" s="36" t="str">
        <f>+A29</f>
        <v>Bhusa</v>
      </c>
      <c r="B36" s="37">
        <f>ROUND(B$18*$L36,0)</f>
        <v>10</v>
      </c>
      <c r="C36" s="37">
        <f t="shared" si="25"/>
        <v>10</v>
      </c>
      <c r="D36" s="37">
        <f t="shared" si="25"/>
        <v>11</v>
      </c>
      <c r="E36" s="37">
        <f t="shared" si="25"/>
        <v>11</v>
      </c>
      <c r="F36" s="37">
        <f t="shared" si="25"/>
        <v>12</v>
      </c>
      <c r="G36" s="37">
        <f t="shared" si="25"/>
        <v>13</v>
      </c>
      <c r="H36" s="37">
        <f t="shared" si="25"/>
        <v>14</v>
      </c>
      <c r="I36" s="37">
        <f t="shared" si="25"/>
        <v>14</v>
      </c>
      <c r="J36" s="37">
        <f t="shared" si="25"/>
        <v>14</v>
      </c>
      <c r="K36" s="37">
        <f t="shared" si="25"/>
        <v>14</v>
      </c>
      <c r="L36" s="266">
        <v>0.15</v>
      </c>
      <c r="M36" s="25">
        <f>+'CS-FG'!C95</f>
        <v>15000</v>
      </c>
      <c r="N36" s="25">
        <f t="shared" si="26"/>
        <v>2250</v>
      </c>
    </row>
    <row r="37" spans="1:14" x14ac:dyDescent="0.25">
      <c r="A37" s="36" t="str">
        <f>+A30</f>
        <v>Powder</v>
      </c>
      <c r="B37" s="37">
        <f>ROUND(B$18*$L37,0)</f>
        <v>0</v>
      </c>
      <c r="C37" s="37">
        <f t="shared" si="25"/>
        <v>0</v>
      </c>
      <c r="D37" s="37">
        <f t="shared" si="25"/>
        <v>0</v>
      </c>
      <c r="E37" s="37">
        <f t="shared" si="25"/>
        <v>0</v>
      </c>
      <c r="F37" s="37">
        <f t="shared" si="25"/>
        <v>0</v>
      </c>
      <c r="G37" s="37">
        <f t="shared" si="25"/>
        <v>0</v>
      </c>
      <c r="H37" s="37">
        <f t="shared" si="25"/>
        <v>0</v>
      </c>
      <c r="I37" s="37">
        <f t="shared" si="25"/>
        <v>0</v>
      </c>
      <c r="J37" s="37">
        <f t="shared" si="25"/>
        <v>0</v>
      </c>
      <c r="K37" s="37">
        <f t="shared" si="25"/>
        <v>0</v>
      </c>
      <c r="L37" s="266">
        <v>0</v>
      </c>
      <c r="M37" s="25">
        <f>+'CS-FG'!C96</f>
        <v>15000</v>
      </c>
      <c r="N37" s="25">
        <f t="shared" si="26"/>
        <v>0</v>
      </c>
    </row>
    <row r="38" spans="1:14" x14ac:dyDescent="0.25">
      <c r="A38" s="36" t="s">
        <v>668</v>
      </c>
      <c r="B38" s="37">
        <f>ROUND(B$18*$L$38,0)</f>
        <v>1</v>
      </c>
      <c r="C38" s="37">
        <f t="shared" ref="C38:K38" si="27">ROUND(C$18*$L$38,0)</f>
        <v>1</v>
      </c>
      <c r="D38" s="37">
        <f t="shared" si="27"/>
        <v>1</v>
      </c>
      <c r="E38" s="37">
        <f t="shared" si="27"/>
        <v>2</v>
      </c>
      <c r="F38" s="37">
        <f t="shared" si="27"/>
        <v>2</v>
      </c>
      <c r="G38" s="37">
        <f t="shared" si="27"/>
        <v>2</v>
      </c>
      <c r="H38" s="37">
        <f t="shared" si="27"/>
        <v>2</v>
      </c>
      <c r="I38" s="37">
        <f t="shared" si="27"/>
        <v>2</v>
      </c>
      <c r="J38" s="37">
        <f t="shared" si="27"/>
        <v>2</v>
      </c>
      <c r="K38" s="37">
        <f t="shared" si="27"/>
        <v>2</v>
      </c>
      <c r="L38" s="266">
        <v>0.02</v>
      </c>
      <c r="M38" s="25">
        <f>+'CS-FG'!C97</f>
        <v>0</v>
      </c>
      <c r="N38" s="25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4" x14ac:dyDescent="0.25">
      <c r="A40" s="6" t="s">
        <v>671</v>
      </c>
      <c r="B40" s="6">
        <f>1.5</f>
        <v>1.5</v>
      </c>
      <c r="C40" s="6">
        <f>+B40</f>
        <v>1.5</v>
      </c>
      <c r="D40" s="6">
        <f t="shared" ref="D40:K40" si="28">+C40</f>
        <v>1.5</v>
      </c>
      <c r="E40" s="6">
        <f t="shared" si="28"/>
        <v>1.5</v>
      </c>
      <c r="F40" s="6">
        <f t="shared" si="28"/>
        <v>1.5</v>
      </c>
      <c r="G40" s="6">
        <f t="shared" si="28"/>
        <v>1.5</v>
      </c>
      <c r="H40" s="6">
        <f t="shared" si="28"/>
        <v>1.5</v>
      </c>
      <c r="I40" s="6">
        <f t="shared" si="28"/>
        <v>1.5</v>
      </c>
      <c r="J40" s="6">
        <f t="shared" si="28"/>
        <v>1.5</v>
      </c>
      <c r="K40" s="6">
        <f t="shared" si="28"/>
        <v>1.5</v>
      </c>
      <c r="N40" s="25">
        <f>SUM(N27:N32)</f>
        <v>67050</v>
      </c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x14ac:dyDescent="0.25">
      <c r="A42" s="36" t="s">
        <v>153</v>
      </c>
      <c r="B42" s="6">
        <f t="shared" ref="B42:K42" si="29">ROUND(B12/B40,0)</f>
        <v>113</v>
      </c>
      <c r="C42" s="6">
        <f t="shared" si="29"/>
        <v>113</v>
      </c>
      <c r="D42" s="6">
        <f t="shared" si="29"/>
        <v>120</v>
      </c>
      <c r="E42" s="6">
        <f t="shared" si="29"/>
        <v>128</v>
      </c>
      <c r="F42" s="6">
        <f t="shared" si="29"/>
        <v>135</v>
      </c>
      <c r="G42" s="6">
        <f t="shared" si="29"/>
        <v>143</v>
      </c>
      <c r="H42" s="6">
        <f t="shared" si="29"/>
        <v>150</v>
      </c>
      <c r="I42" s="6">
        <f t="shared" si="29"/>
        <v>150</v>
      </c>
      <c r="J42" s="6">
        <f t="shared" si="29"/>
        <v>150</v>
      </c>
      <c r="K42" s="6">
        <f t="shared" si="29"/>
        <v>150</v>
      </c>
    </row>
    <row r="43" spans="1:14" x14ac:dyDescent="0.25">
      <c r="A43" s="36" t="s">
        <v>158</v>
      </c>
      <c r="B43" s="6">
        <f>ROUND((B17+B18)/B40,0)</f>
        <v>113</v>
      </c>
      <c r="C43" s="6">
        <f t="shared" ref="C43:K43" si="30">ROUND((C17+C18)/C40,0)</f>
        <v>113</v>
      </c>
      <c r="D43" s="6">
        <f t="shared" si="30"/>
        <v>120</v>
      </c>
      <c r="E43" s="6">
        <f t="shared" si="30"/>
        <v>128</v>
      </c>
      <c r="F43" s="6">
        <f t="shared" si="30"/>
        <v>135</v>
      </c>
      <c r="G43" s="6">
        <f t="shared" si="30"/>
        <v>143</v>
      </c>
      <c r="H43" s="6">
        <f t="shared" si="30"/>
        <v>150</v>
      </c>
      <c r="I43" s="6">
        <f t="shared" si="30"/>
        <v>150</v>
      </c>
      <c r="J43" s="6">
        <f t="shared" si="30"/>
        <v>150</v>
      </c>
      <c r="K43" s="6">
        <f t="shared" si="30"/>
        <v>150</v>
      </c>
    </row>
    <row r="44" spans="1:14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4" s="3" customFormat="1" x14ac:dyDescent="0.25">
      <c r="A45" s="8" t="s">
        <v>159</v>
      </c>
      <c r="B45" s="8">
        <f>B42+B43</f>
        <v>226</v>
      </c>
      <c r="C45" s="8">
        <f t="shared" ref="C45:K45" si="31">C42+C43</f>
        <v>226</v>
      </c>
      <c r="D45" s="8">
        <f t="shared" si="31"/>
        <v>240</v>
      </c>
      <c r="E45" s="8">
        <f t="shared" si="31"/>
        <v>256</v>
      </c>
      <c r="F45" s="8">
        <f t="shared" si="31"/>
        <v>270</v>
      </c>
      <c r="G45" s="8">
        <f t="shared" si="31"/>
        <v>286</v>
      </c>
      <c r="H45" s="8">
        <f t="shared" si="31"/>
        <v>300</v>
      </c>
      <c r="I45" s="8">
        <f t="shared" si="31"/>
        <v>300</v>
      </c>
      <c r="J45" s="8">
        <f t="shared" si="31"/>
        <v>300</v>
      </c>
      <c r="K45" s="8">
        <f t="shared" si="31"/>
        <v>300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view="pageBreakPreview" zoomScale="70" zoomScaleNormal="100" zoomScaleSheetLayoutView="70" workbookViewId="0">
      <selection activeCell="A2" sqref="A2:K31"/>
    </sheetView>
  </sheetViews>
  <sheetFormatPr defaultRowHeight="15" x14ac:dyDescent="0.25"/>
  <cols>
    <col min="1" max="1" width="37.140625" style="1" customWidth="1"/>
    <col min="2" max="11" width="10.7109375" style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2" t="s">
        <v>41</v>
      </c>
      <c r="H2" s="222" t="s">
        <v>42</v>
      </c>
      <c r="I2" s="222" t="s">
        <v>490</v>
      </c>
      <c r="J2" s="222" t="s">
        <v>491</v>
      </c>
      <c r="K2" s="222" t="s">
        <v>492</v>
      </c>
    </row>
    <row r="3" spans="1:11" x14ac:dyDescent="0.25">
      <c r="A3" s="26" t="s">
        <v>64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673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65</v>
      </c>
      <c r="B5" s="36">
        <v>0</v>
      </c>
      <c r="C5" s="36">
        <f>B8</f>
        <v>4</v>
      </c>
      <c r="D5" s="36">
        <f>C8</f>
        <v>4</v>
      </c>
      <c r="E5" s="36">
        <f>D8</f>
        <v>5</v>
      </c>
      <c r="F5" s="36">
        <f>E8</f>
        <v>5</v>
      </c>
      <c r="G5" s="36">
        <f t="shared" ref="G5:H5" si="0">F8</f>
        <v>5</v>
      </c>
      <c r="H5" s="36">
        <f t="shared" si="0"/>
        <v>5</v>
      </c>
      <c r="I5" s="36">
        <f t="shared" ref="I5" si="1">H8</f>
        <v>6</v>
      </c>
      <c r="J5" s="36">
        <f t="shared" ref="J5" si="2">I8</f>
        <v>6</v>
      </c>
      <c r="K5" s="36">
        <f t="shared" ref="K5" si="3">J8</f>
        <v>6</v>
      </c>
    </row>
    <row r="6" spans="1:11" x14ac:dyDescent="0.25">
      <c r="A6" s="36" t="s">
        <v>66</v>
      </c>
      <c r="B6" s="37">
        <f>SUM(B7:B8)-B5</f>
        <v>105.25</v>
      </c>
      <c r="C6" s="37">
        <f>SUM(C7:C8)-C5</f>
        <v>101.25</v>
      </c>
      <c r="D6" s="37">
        <f t="shared" ref="D6:K6" si="4">SUM(D7:D8)-D5</f>
        <v>109</v>
      </c>
      <c r="E6" s="37">
        <f t="shared" si="4"/>
        <v>114.75</v>
      </c>
      <c r="F6" s="37">
        <f t="shared" si="4"/>
        <v>121.5</v>
      </c>
      <c r="G6" s="37">
        <f t="shared" si="4"/>
        <v>128.25</v>
      </c>
      <c r="H6" s="37">
        <f t="shared" si="4"/>
        <v>136</v>
      </c>
      <c r="I6" s="37">
        <f t="shared" si="4"/>
        <v>135</v>
      </c>
      <c r="J6" s="37">
        <f t="shared" si="4"/>
        <v>135</v>
      </c>
      <c r="K6" s="37">
        <f t="shared" si="4"/>
        <v>135</v>
      </c>
    </row>
    <row r="7" spans="1:11" x14ac:dyDescent="0.25">
      <c r="A7" s="36" t="s">
        <v>67</v>
      </c>
      <c r="B7" s="37">
        <f>'Output Schedule'!B17</f>
        <v>101.25</v>
      </c>
      <c r="C7" s="37">
        <f>'Output Schedule'!C17</f>
        <v>101.25</v>
      </c>
      <c r="D7" s="37">
        <f>'Output Schedule'!D17</f>
        <v>108</v>
      </c>
      <c r="E7" s="37">
        <f>'Output Schedule'!E17</f>
        <v>114.75</v>
      </c>
      <c r="F7" s="37">
        <f>'Output Schedule'!F17</f>
        <v>121.5</v>
      </c>
      <c r="G7" s="37">
        <f>'Output Schedule'!G17</f>
        <v>128.25</v>
      </c>
      <c r="H7" s="37">
        <f>'Output Schedule'!H17</f>
        <v>135</v>
      </c>
      <c r="I7" s="37">
        <f>'Output Schedule'!I17</f>
        <v>135</v>
      </c>
      <c r="J7" s="37">
        <f>'Output Schedule'!J17</f>
        <v>135</v>
      </c>
      <c r="K7" s="37">
        <f>'Output Schedule'!K17</f>
        <v>135</v>
      </c>
    </row>
    <row r="8" spans="1:11" x14ac:dyDescent="0.25">
      <c r="A8" s="36" t="s">
        <v>68</v>
      </c>
      <c r="B8" s="36">
        <f>ROUND(B7/24,0)</f>
        <v>4</v>
      </c>
      <c r="C8" s="36">
        <f t="shared" ref="C8:K8" si="5">ROUND(C7/24,0)</f>
        <v>4</v>
      </c>
      <c r="D8" s="36">
        <f t="shared" si="5"/>
        <v>5</v>
      </c>
      <c r="E8" s="36">
        <f t="shared" si="5"/>
        <v>5</v>
      </c>
      <c r="F8" s="36">
        <f t="shared" si="5"/>
        <v>5</v>
      </c>
      <c r="G8" s="36">
        <f t="shared" si="5"/>
        <v>5</v>
      </c>
      <c r="H8" s="36">
        <f t="shared" si="5"/>
        <v>6</v>
      </c>
      <c r="I8" s="36">
        <f t="shared" si="5"/>
        <v>6</v>
      </c>
      <c r="J8" s="36">
        <f t="shared" si="5"/>
        <v>6</v>
      </c>
      <c r="K8" s="36">
        <f t="shared" si="5"/>
        <v>6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69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449</v>
      </c>
      <c r="B11" s="295">
        <v>63000</v>
      </c>
      <c r="C11" s="298">
        <f>ROUND(B11*1.05,-1)</f>
        <v>66150</v>
      </c>
      <c r="D11" s="298">
        <f t="shared" ref="D11:K11" si="6">ROUND(C11*1.05,-1)</f>
        <v>69460</v>
      </c>
      <c r="E11" s="298">
        <f t="shared" si="6"/>
        <v>72930</v>
      </c>
      <c r="F11" s="298">
        <f t="shared" si="6"/>
        <v>76580</v>
      </c>
      <c r="G11" s="298">
        <f t="shared" si="6"/>
        <v>80410</v>
      </c>
      <c r="H11" s="298">
        <f t="shared" si="6"/>
        <v>84430</v>
      </c>
      <c r="I11" s="298">
        <f t="shared" si="6"/>
        <v>88650</v>
      </c>
      <c r="J11" s="298">
        <f t="shared" si="6"/>
        <v>93080</v>
      </c>
      <c r="K11" s="298">
        <f t="shared" si="6"/>
        <v>97730</v>
      </c>
    </row>
    <row r="12" spans="1:11" s="40" customFormat="1" ht="30" hidden="1" x14ac:dyDescent="0.25">
      <c r="A12" s="187" t="s">
        <v>448</v>
      </c>
      <c r="B12" s="35">
        <f>B11</f>
        <v>63000</v>
      </c>
      <c r="C12" s="35">
        <f t="shared" ref="C12:H12" si="7">C11</f>
        <v>66150</v>
      </c>
      <c r="D12" s="35">
        <f t="shared" si="7"/>
        <v>69460</v>
      </c>
      <c r="E12" s="35">
        <f t="shared" si="7"/>
        <v>72930</v>
      </c>
      <c r="F12" s="35">
        <f t="shared" si="7"/>
        <v>76580</v>
      </c>
      <c r="G12" s="35">
        <f t="shared" si="7"/>
        <v>80410</v>
      </c>
      <c r="H12" s="35">
        <f t="shared" si="7"/>
        <v>84430</v>
      </c>
      <c r="I12" s="35">
        <f t="shared" ref="I12" si="8">I11</f>
        <v>88650</v>
      </c>
      <c r="J12" s="35">
        <f t="shared" ref="J12" si="9">J11</f>
        <v>93080</v>
      </c>
      <c r="K12" s="35">
        <f t="shared" ref="K12" si="10">K11</f>
        <v>97730</v>
      </c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8" t="s">
        <v>649</v>
      </c>
      <c r="B15" s="320">
        <f>+B5*B11/100000</f>
        <v>0</v>
      </c>
      <c r="C15" s="11">
        <f>+B16</f>
        <v>2.52</v>
      </c>
      <c r="D15" s="11">
        <f t="shared" ref="D15:K15" si="11">+C16</f>
        <v>2.6459999999999999</v>
      </c>
      <c r="E15" s="11">
        <f t="shared" si="11"/>
        <v>3.4729999999999999</v>
      </c>
      <c r="F15" s="11">
        <f t="shared" si="11"/>
        <v>3.6465000000000001</v>
      </c>
      <c r="G15" s="11">
        <f t="shared" si="11"/>
        <v>3.8290000000000002</v>
      </c>
      <c r="H15" s="11">
        <f t="shared" si="11"/>
        <v>4.0205000000000002</v>
      </c>
      <c r="I15" s="11">
        <f t="shared" si="11"/>
        <v>5.0658000000000003</v>
      </c>
      <c r="J15" s="11">
        <f t="shared" si="11"/>
        <v>5.319</v>
      </c>
      <c r="K15" s="11">
        <f t="shared" si="11"/>
        <v>5.5848000000000004</v>
      </c>
    </row>
    <row r="16" spans="1:11" x14ac:dyDescent="0.25">
      <c r="A16" s="8" t="s">
        <v>650</v>
      </c>
      <c r="B16" s="11">
        <f>+B8*B11/100000</f>
        <v>2.52</v>
      </c>
      <c r="C16" s="11">
        <f>+C8*C11/100000</f>
        <v>2.6459999999999999</v>
      </c>
      <c r="D16" s="11">
        <f t="shared" ref="D16:K16" si="12">+D8*D11/100000</f>
        <v>3.4729999999999999</v>
      </c>
      <c r="E16" s="11">
        <f t="shared" si="12"/>
        <v>3.6465000000000001</v>
      </c>
      <c r="F16" s="11">
        <f t="shared" si="12"/>
        <v>3.8290000000000002</v>
      </c>
      <c r="G16" s="11">
        <f t="shared" si="12"/>
        <v>4.0205000000000002</v>
      </c>
      <c r="H16" s="11">
        <f t="shared" si="12"/>
        <v>5.0658000000000003</v>
      </c>
      <c r="I16" s="11">
        <f t="shared" si="12"/>
        <v>5.319</v>
      </c>
      <c r="J16" s="11">
        <f t="shared" si="12"/>
        <v>5.5848000000000004</v>
      </c>
      <c r="K16" s="11">
        <f t="shared" si="12"/>
        <v>5.8638000000000003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6" t="s">
        <v>674</v>
      </c>
      <c r="B18" s="36"/>
      <c r="C18" s="36"/>
      <c r="D18" s="36"/>
      <c r="E18" s="36"/>
      <c r="F18" s="36"/>
      <c r="G18" s="6"/>
      <c r="H18" s="6"/>
      <c r="I18" s="6"/>
      <c r="J18" s="6"/>
      <c r="K18" s="6"/>
    </row>
    <row r="19" spans="1:11" x14ac:dyDescent="0.25">
      <c r="A19" s="36" t="s">
        <v>65</v>
      </c>
      <c r="B19" s="36">
        <v>0</v>
      </c>
      <c r="C19" s="36">
        <f>B22</f>
        <v>3</v>
      </c>
      <c r="D19" s="36">
        <f>C22</f>
        <v>3</v>
      </c>
      <c r="E19" s="36">
        <f>D22</f>
        <v>3</v>
      </c>
      <c r="F19" s="36">
        <f>E22</f>
        <v>3</v>
      </c>
      <c r="G19" s="36">
        <f t="shared" ref="G19" si="13">F22</f>
        <v>3</v>
      </c>
      <c r="H19" s="36">
        <f t="shared" ref="H19" si="14">G22</f>
        <v>4</v>
      </c>
      <c r="I19" s="36">
        <f t="shared" ref="I19" si="15">H22</f>
        <v>4</v>
      </c>
      <c r="J19" s="36">
        <f t="shared" ref="J19" si="16">I22</f>
        <v>4</v>
      </c>
      <c r="K19" s="36">
        <f t="shared" ref="K19" si="17">J22</f>
        <v>4</v>
      </c>
    </row>
    <row r="20" spans="1:11" x14ac:dyDescent="0.25">
      <c r="A20" s="36" t="s">
        <v>66</v>
      </c>
      <c r="B20" s="37">
        <f>SUM(B21:B22)-B19</f>
        <v>70.5</v>
      </c>
      <c r="C20" s="37">
        <f>SUM(C21:C22)-C19</f>
        <v>67.5</v>
      </c>
      <c r="D20" s="37">
        <f t="shared" ref="D20:K20" si="18">SUM(D21:D22)-D19</f>
        <v>72</v>
      </c>
      <c r="E20" s="37">
        <f t="shared" si="18"/>
        <v>76.5</v>
      </c>
      <c r="F20" s="37">
        <f t="shared" si="18"/>
        <v>81</v>
      </c>
      <c r="G20" s="37">
        <f t="shared" si="18"/>
        <v>86.5</v>
      </c>
      <c r="H20" s="37">
        <f t="shared" si="18"/>
        <v>90</v>
      </c>
      <c r="I20" s="37">
        <f t="shared" si="18"/>
        <v>90</v>
      </c>
      <c r="J20" s="37">
        <f t="shared" si="18"/>
        <v>90</v>
      </c>
      <c r="K20" s="37">
        <f t="shared" si="18"/>
        <v>90</v>
      </c>
    </row>
    <row r="21" spans="1:11" x14ac:dyDescent="0.25">
      <c r="A21" s="36" t="s">
        <v>67</v>
      </c>
      <c r="B21" s="37">
        <f>+'Output Schedule'!B18</f>
        <v>67.5</v>
      </c>
      <c r="C21" s="37">
        <f>+'Output Schedule'!C18</f>
        <v>67.5</v>
      </c>
      <c r="D21" s="37">
        <f>+'Output Schedule'!D18</f>
        <v>72</v>
      </c>
      <c r="E21" s="37">
        <f>+'Output Schedule'!E18</f>
        <v>76.5</v>
      </c>
      <c r="F21" s="37">
        <f>+'Output Schedule'!F18</f>
        <v>81</v>
      </c>
      <c r="G21" s="37">
        <f>+'Output Schedule'!G18</f>
        <v>85.5</v>
      </c>
      <c r="H21" s="37">
        <f>+'Output Schedule'!H18</f>
        <v>90</v>
      </c>
      <c r="I21" s="37">
        <f>+'Output Schedule'!I18</f>
        <v>90</v>
      </c>
      <c r="J21" s="37">
        <f>+'Output Schedule'!J18</f>
        <v>90</v>
      </c>
      <c r="K21" s="37">
        <f>+'Output Schedule'!K18</f>
        <v>90</v>
      </c>
    </row>
    <row r="22" spans="1:11" x14ac:dyDescent="0.25">
      <c r="A22" s="36" t="s">
        <v>68</v>
      </c>
      <c r="B22" s="36">
        <f>ROUND(B21/24,0)</f>
        <v>3</v>
      </c>
      <c r="C22" s="36">
        <f t="shared" ref="C22:K22" si="19">ROUND(C21/24,0)</f>
        <v>3</v>
      </c>
      <c r="D22" s="36">
        <f t="shared" si="19"/>
        <v>3</v>
      </c>
      <c r="E22" s="36">
        <f t="shared" si="19"/>
        <v>3</v>
      </c>
      <c r="F22" s="36">
        <f t="shared" si="19"/>
        <v>3</v>
      </c>
      <c r="G22" s="36">
        <f t="shared" si="19"/>
        <v>4</v>
      </c>
      <c r="H22" s="36">
        <f t="shared" si="19"/>
        <v>4</v>
      </c>
      <c r="I22" s="36">
        <f t="shared" si="19"/>
        <v>4</v>
      </c>
      <c r="J22" s="36">
        <f t="shared" si="19"/>
        <v>4</v>
      </c>
      <c r="K22" s="36">
        <f t="shared" si="19"/>
        <v>4</v>
      </c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26" t="s">
        <v>69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26" t="s">
        <v>449</v>
      </c>
      <c r="B25" s="295">
        <v>49800</v>
      </c>
      <c r="C25" s="298">
        <f>ROUND(B25*1.05,-1)</f>
        <v>52290</v>
      </c>
      <c r="D25" s="298">
        <f t="shared" ref="D25" si="20">ROUND(C25*1.05,-1)</f>
        <v>54900</v>
      </c>
      <c r="E25" s="298">
        <f t="shared" ref="E25" si="21">ROUND(D25*1.05,-1)</f>
        <v>57650</v>
      </c>
      <c r="F25" s="298">
        <f t="shared" ref="F25" si="22">ROUND(E25*1.05,-1)</f>
        <v>60530</v>
      </c>
      <c r="G25" s="298">
        <f t="shared" ref="G25" si="23">ROUND(F25*1.05,-1)</f>
        <v>63560</v>
      </c>
      <c r="H25" s="298">
        <f t="shared" ref="H25" si="24">ROUND(G25*1.05,-1)</f>
        <v>66740</v>
      </c>
      <c r="I25" s="298">
        <f t="shared" ref="I25" si="25">ROUND(H25*1.05,-1)</f>
        <v>70080</v>
      </c>
      <c r="J25" s="298">
        <f t="shared" ref="J25" si="26">ROUND(I25*1.05,-1)</f>
        <v>73580</v>
      </c>
      <c r="K25" s="298">
        <f t="shared" ref="K25" si="27">ROUND(J25*1.05,-1)</f>
        <v>77260</v>
      </c>
    </row>
    <row r="26" spans="1:11" x14ac:dyDescent="0.25">
      <c r="A26" s="26"/>
      <c r="B26" s="295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x14ac:dyDescent="0.25">
      <c r="A27" s="8" t="s">
        <v>649</v>
      </c>
      <c r="B27" s="320">
        <f>+B19*B25/100000</f>
        <v>0</v>
      </c>
      <c r="C27" s="11">
        <f>+B28</f>
        <v>1.494</v>
      </c>
      <c r="D27" s="11">
        <f t="shared" ref="D27:K27" si="28">+C28</f>
        <v>1.5687</v>
      </c>
      <c r="E27" s="11">
        <f t="shared" si="28"/>
        <v>1.647</v>
      </c>
      <c r="F27" s="11">
        <f t="shared" si="28"/>
        <v>1.7295</v>
      </c>
      <c r="G27" s="11">
        <f t="shared" si="28"/>
        <v>1.8159000000000001</v>
      </c>
      <c r="H27" s="11">
        <f t="shared" si="28"/>
        <v>2.5424000000000002</v>
      </c>
      <c r="I27" s="11">
        <f t="shared" si="28"/>
        <v>2.6696</v>
      </c>
      <c r="J27" s="11">
        <f t="shared" si="28"/>
        <v>2.8031999999999999</v>
      </c>
      <c r="K27" s="11">
        <f t="shared" si="28"/>
        <v>2.9432</v>
      </c>
    </row>
    <row r="28" spans="1:11" x14ac:dyDescent="0.25">
      <c r="A28" s="8" t="s">
        <v>650</v>
      </c>
      <c r="B28" s="11">
        <f>+B22*B25/100000</f>
        <v>1.494</v>
      </c>
      <c r="C28" s="11">
        <f>+C22*C25/100000</f>
        <v>1.5687</v>
      </c>
      <c r="D28" s="11">
        <f t="shared" ref="D28:K28" si="29">+D22*D25/100000</f>
        <v>1.647</v>
      </c>
      <c r="E28" s="11">
        <f t="shared" si="29"/>
        <v>1.7295</v>
      </c>
      <c r="F28" s="11">
        <f t="shared" si="29"/>
        <v>1.8159000000000001</v>
      </c>
      <c r="G28" s="11">
        <f t="shared" si="29"/>
        <v>2.5424000000000002</v>
      </c>
      <c r="H28" s="11">
        <f t="shared" si="29"/>
        <v>2.6696</v>
      </c>
      <c r="I28" s="11">
        <f t="shared" si="29"/>
        <v>2.8031999999999999</v>
      </c>
      <c r="J28" s="11">
        <f t="shared" si="29"/>
        <v>2.9432</v>
      </c>
      <c r="K28" s="11">
        <f t="shared" si="29"/>
        <v>3.0903999999999998</v>
      </c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26" t="s">
        <v>70</v>
      </c>
      <c r="B30" s="41">
        <f>+B15+B27</f>
        <v>0</v>
      </c>
      <c r="C30" s="41">
        <f>B31</f>
        <v>4.0140000000000002</v>
      </c>
      <c r="D30" s="41">
        <f>C31</f>
        <v>4.2146999999999997</v>
      </c>
      <c r="E30" s="41">
        <f t="shared" ref="E30:H30" si="30">D31</f>
        <v>5.12</v>
      </c>
      <c r="F30" s="41">
        <f t="shared" si="30"/>
        <v>5.3760000000000003</v>
      </c>
      <c r="G30" s="41">
        <f t="shared" si="30"/>
        <v>5.6448999999999998</v>
      </c>
      <c r="H30" s="41">
        <f t="shared" si="30"/>
        <v>6.5629000000000008</v>
      </c>
      <c r="I30" s="41">
        <f t="shared" ref="I30" si="31">H31</f>
        <v>7.7354000000000003</v>
      </c>
      <c r="J30" s="41">
        <f t="shared" ref="J30" si="32">I31</f>
        <v>8.1221999999999994</v>
      </c>
      <c r="K30" s="41">
        <f t="shared" ref="K30" si="33">J31</f>
        <v>8.5280000000000005</v>
      </c>
    </row>
    <row r="31" spans="1:11" x14ac:dyDescent="0.25">
      <c r="A31" s="26" t="s">
        <v>71</v>
      </c>
      <c r="B31" s="41">
        <f>+B16+B28</f>
        <v>4.0140000000000002</v>
      </c>
      <c r="C31" s="41">
        <f t="shared" ref="C31:K31" si="34">+C16+C28</f>
        <v>4.2146999999999997</v>
      </c>
      <c r="D31" s="41">
        <f t="shared" si="34"/>
        <v>5.12</v>
      </c>
      <c r="E31" s="41">
        <f t="shared" si="34"/>
        <v>5.3760000000000003</v>
      </c>
      <c r="F31" s="41">
        <f t="shared" si="34"/>
        <v>5.6448999999999998</v>
      </c>
      <c r="G31" s="41">
        <f t="shared" si="34"/>
        <v>6.5629000000000008</v>
      </c>
      <c r="H31" s="41">
        <f t="shared" si="34"/>
        <v>7.7354000000000003</v>
      </c>
      <c r="I31" s="41">
        <f t="shared" si="34"/>
        <v>8.1221999999999994</v>
      </c>
      <c r="J31" s="41">
        <f t="shared" si="34"/>
        <v>8.5280000000000005</v>
      </c>
      <c r="K31" s="41">
        <f t="shared" si="34"/>
        <v>8.9542000000000002</v>
      </c>
    </row>
    <row r="33" spans="3:8" x14ac:dyDescent="0.25">
      <c r="C33" s="25"/>
      <c r="D33" s="25"/>
      <c r="E33" s="25"/>
      <c r="F33" s="25"/>
      <c r="G33" s="25"/>
      <c r="H33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60" zoomScaleNormal="100" workbookViewId="0">
      <selection sqref="A1:K9"/>
    </sheetView>
  </sheetViews>
  <sheetFormatPr defaultRowHeight="15" x14ac:dyDescent="0.25"/>
  <cols>
    <col min="1" max="1" width="31.85546875" bestFit="1" customWidth="1"/>
    <col min="2" max="3" width="12.28515625" bestFit="1" customWidth="1"/>
    <col min="4" max="4" width="11.85546875" bestFit="1" customWidth="1"/>
    <col min="5" max="6" width="12.28515625" bestFit="1" customWidth="1"/>
    <col min="7" max="7" width="12.5703125" bestFit="1" customWidth="1"/>
    <col min="8" max="8" width="13" bestFit="1" customWidth="1"/>
    <col min="9" max="10" width="13.42578125" bestFit="1" customWidth="1"/>
    <col min="11" max="11" width="13" bestFit="1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22" t="s">
        <v>42</v>
      </c>
      <c r="I1" s="222" t="s">
        <v>490</v>
      </c>
      <c r="J1" s="222" t="s">
        <v>491</v>
      </c>
      <c r="K1" s="222" t="s">
        <v>492</v>
      </c>
    </row>
    <row r="2" spans="1:11" x14ac:dyDescent="0.25">
      <c r="A2" s="26"/>
      <c r="B2" s="27"/>
      <c r="C2" s="27"/>
      <c r="D2" s="27"/>
      <c r="E2" s="27"/>
      <c r="F2" s="27"/>
      <c r="G2" s="27"/>
      <c r="H2" s="220"/>
      <c r="I2" s="18"/>
      <c r="J2" s="18"/>
      <c r="K2" s="18"/>
    </row>
    <row r="3" spans="1:11" x14ac:dyDescent="0.25">
      <c r="A3" s="36" t="s">
        <v>673</v>
      </c>
      <c r="B3" s="36">
        <f>ROUND('CS-RM'!B6,0)</f>
        <v>105</v>
      </c>
      <c r="C3" s="36">
        <f>ROUND('CS-RM'!C6,0)</f>
        <v>101</v>
      </c>
      <c r="D3" s="36">
        <f>ROUND('CS-RM'!D6,0)</f>
        <v>109</v>
      </c>
      <c r="E3" s="36">
        <f>ROUND('CS-RM'!E6,0)</f>
        <v>115</v>
      </c>
      <c r="F3" s="36">
        <f>ROUND('CS-RM'!F6,0)</f>
        <v>122</v>
      </c>
      <c r="G3" s="36">
        <f>ROUND('CS-RM'!G6,0)</f>
        <v>128</v>
      </c>
      <c r="H3" s="36">
        <f>ROUND('CS-RM'!H6,0)</f>
        <v>136</v>
      </c>
      <c r="I3" s="36">
        <f>ROUND('CS-RM'!I6,0)</f>
        <v>135</v>
      </c>
      <c r="J3" s="36">
        <f>ROUND('CS-RM'!J6,0)</f>
        <v>135</v>
      </c>
      <c r="K3" s="36">
        <f>ROUND('CS-RM'!K6,0)</f>
        <v>135</v>
      </c>
    </row>
    <row r="4" spans="1:11" x14ac:dyDescent="0.25">
      <c r="A4" s="36" t="s">
        <v>588</v>
      </c>
      <c r="B4" s="42">
        <f>'CS-RM'!B12</f>
        <v>63000</v>
      </c>
      <c r="C4" s="42">
        <f>'CS-RM'!C12</f>
        <v>66150</v>
      </c>
      <c r="D4" s="42">
        <f>'CS-RM'!D12</f>
        <v>69460</v>
      </c>
      <c r="E4" s="42">
        <f>'CS-RM'!E12</f>
        <v>72930</v>
      </c>
      <c r="F4" s="42">
        <f>'CS-RM'!F12</f>
        <v>76580</v>
      </c>
      <c r="G4" s="42">
        <f>'CS-RM'!G12</f>
        <v>80410</v>
      </c>
      <c r="H4" s="42">
        <f>'CS-RM'!H12</f>
        <v>84430</v>
      </c>
      <c r="I4" s="42">
        <f>'CS-RM'!I12</f>
        <v>88650</v>
      </c>
      <c r="J4" s="42">
        <f>'CS-RM'!J12</f>
        <v>93080</v>
      </c>
      <c r="K4" s="42">
        <f>'CS-RM'!K12</f>
        <v>97730</v>
      </c>
    </row>
    <row r="5" spans="1:11" x14ac:dyDescent="0.25">
      <c r="A5" s="36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x14ac:dyDescent="0.25">
      <c r="A6" s="36" t="s">
        <v>674</v>
      </c>
      <c r="B6" s="37">
        <f>+'CS-RM'!B20</f>
        <v>70.5</v>
      </c>
      <c r="C6" s="37">
        <f>+'CS-RM'!C20</f>
        <v>67.5</v>
      </c>
      <c r="D6" s="37">
        <f>+'CS-RM'!D20</f>
        <v>72</v>
      </c>
      <c r="E6" s="37">
        <f>+'CS-RM'!E20</f>
        <v>76.5</v>
      </c>
      <c r="F6" s="37">
        <f>+'CS-RM'!F20</f>
        <v>81</v>
      </c>
      <c r="G6" s="37">
        <f>+'CS-RM'!G20</f>
        <v>86.5</v>
      </c>
      <c r="H6" s="37">
        <f>+'CS-RM'!H20</f>
        <v>90</v>
      </c>
      <c r="I6" s="37">
        <f>+'CS-RM'!I20</f>
        <v>90</v>
      </c>
      <c r="J6" s="37">
        <f>+'CS-RM'!J20</f>
        <v>90</v>
      </c>
      <c r="K6" s="37">
        <f>+'CS-RM'!K20</f>
        <v>90</v>
      </c>
    </row>
    <row r="7" spans="1:11" x14ac:dyDescent="0.25">
      <c r="A7" s="36" t="s">
        <v>588</v>
      </c>
      <c r="B7" s="42">
        <f>+'CS-RM'!B25</f>
        <v>49800</v>
      </c>
      <c r="C7" s="42">
        <f>+'CS-RM'!C25</f>
        <v>52290</v>
      </c>
      <c r="D7" s="42">
        <f>+'CS-RM'!D25</f>
        <v>54900</v>
      </c>
      <c r="E7" s="42">
        <f>+'CS-RM'!E25</f>
        <v>57650</v>
      </c>
      <c r="F7" s="42">
        <f>+'CS-RM'!F25</f>
        <v>60530</v>
      </c>
      <c r="G7" s="42">
        <f>+'CS-RM'!G25</f>
        <v>63560</v>
      </c>
      <c r="H7" s="42">
        <f>+'CS-RM'!H25</f>
        <v>66740</v>
      </c>
      <c r="I7" s="42">
        <f>+'CS-RM'!I25</f>
        <v>70080</v>
      </c>
      <c r="J7" s="42">
        <f>+'CS-RM'!J25</f>
        <v>73580</v>
      </c>
      <c r="K7" s="42">
        <f>+'CS-RM'!K25</f>
        <v>77260</v>
      </c>
    </row>
    <row r="8" spans="1:11" x14ac:dyDescent="0.25">
      <c r="A8" s="36"/>
      <c r="B8" s="42"/>
      <c r="C8" s="42"/>
      <c r="D8" s="42"/>
      <c r="E8" s="42"/>
      <c r="F8" s="42"/>
      <c r="G8" s="18"/>
      <c r="H8" s="18"/>
      <c r="I8" s="18"/>
      <c r="J8" s="18"/>
      <c r="K8" s="18"/>
    </row>
    <row r="9" spans="1:11" x14ac:dyDescent="0.25">
      <c r="A9" s="26" t="s">
        <v>75</v>
      </c>
      <c r="B9" s="41">
        <f>((B3*B4)+(B6*B7))/100000</f>
        <v>101.259</v>
      </c>
      <c r="C9" s="41">
        <f t="shared" ref="C9:K9" si="0">((C3*C4)+(C6*C7))/100000</f>
        <v>102.10724999999999</v>
      </c>
      <c r="D9" s="41">
        <f t="shared" si="0"/>
        <v>115.2394</v>
      </c>
      <c r="E9" s="41">
        <f t="shared" si="0"/>
        <v>127.97175</v>
      </c>
      <c r="F9" s="41">
        <f t="shared" si="0"/>
        <v>142.45689999999999</v>
      </c>
      <c r="G9" s="41">
        <f t="shared" si="0"/>
        <v>157.9042</v>
      </c>
      <c r="H9" s="41">
        <f t="shared" si="0"/>
        <v>174.89080000000001</v>
      </c>
      <c r="I9" s="41">
        <f t="shared" si="0"/>
        <v>182.74950000000001</v>
      </c>
      <c r="J9" s="41">
        <f t="shared" si="0"/>
        <v>191.88</v>
      </c>
      <c r="K9" s="41">
        <f t="shared" si="0"/>
        <v>201.46950000000001</v>
      </c>
    </row>
    <row r="11" spans="1:11" hidden="1" x14ac:dyDescent="0.25">
      <c r="B11" s="24">
        <f>B3*'CS-RM'!B11/100000</f>
        <v>66.150000000000006</v>
      </c>
      <c r="C11" s="24">
        <f>C3*'CS-RM'!C11/100000</f>
        <v>66.811499999999995</v>
      </c>
      <c r="D11" s="24">
        <f>D3*'CS-RM'!D11/100000</f>
        <v>75.711399999999998</v>
      </c>
      <c r="E11" s="24">
        <f>E3*'CS-RM'!E11/100000</f>
        <v>83.869500000000002</v>
      </c>
      <c r="F11" s="24">
        <f>F3*'CS-RM'!F11/100000</f>
        <v>93.427599999999998</v>
      </c>
      <c r="G11" s="24">
        <f>G3*'CS-RM'!G11/100000</f>
        <v>102.9248</v>
      </c>
      <c r="H11" s="24">
        <f>H3*'CS-RM'!H11/100000</f>
        <v>114.8248</v>
      </c>
    </row>
    <row r="12" spans="1:11" hidden="1" x14ac:dyDescent="0.25"/>
    <row r="13" spans="1:11" hidden="1" x14ac:dyDescent="0.25">
      <c r="B13" s="24">
        <f>B11-B9</f>
        <v>-35.108999999999995</v>
      </c>
      <c r="C13" s="24">
        <f t="shared" ref="C13:H13" si="1">C11-C9</f>
        <v>-35.295749999999998</v>
      </c>
      <c r="D13" s="24">
        <f t="shared" si="1"/>
        <v>-39.528000000000006</v>
      </c>
      <c r="E13" s="24">
        <f t="shared" si="1"/>
        <v>-44.102249999999998</v>
      </c>
      <c r="F13" s="24">
        <f t="shared" si="1"/>
        <v>-49.029299999999992</v>
      </c>
      <c r="G13" s="24">
        <f t="shared" si="1"/>
        <v>-54.979399999999998</v>
      </c>
      <c r="H13" s="24">
        <f t="shared" si="1"/>
        <v>-60.066000000000017</v>
      </c>
    </row>
    <row r="14" spans="1:11" hidden="1" x14ac:dyDescent="0.25"/>
    <row r="15" spans="1:11" hidden="1" x14ac:dyDescent="0.25">
      <c r="B15" s="24">
        <f>'Production Level Support'!B3</f>
        <v>0</v>
      </c>
      <c r="C15" s="24">
        <f>'Production Level Support'!C3</f>
        <v>0</v>
      </c>
      <c r="D15" s="24">
        <f>'Production Level Support'!D3</f>
        <v>0</v>
      </c>
      <c r="E15" s="24">
        <f>'Production Level Support'!E3</f>
        <v>0</v>
      </c>
      <c r="F15" s="24">
        <f>'Production Level Support'!F3</f>
        <v>0</v>
      </c>
      <c r="G15" s="24">
        <f>'Production Level Support'!G3</f>
        <v>0</v>
      </c>
      <c r="H15" s="24">
        <f>'Production Level Support'!H3</f>
        <v>0</v>
      </c>
    </row>
    <row r="16" spans="1:11" hidden="1" x14ac:dyDescent="0.25"/>
    <row r="17" spans="2:8" hidden="1" x14ac:dyDescent="0.25">
      <c r="B17" s="24">
        <f>B13-B15</f>
        <v>-35.108999999999995</v>
      </c>
      <c r="C17" s="24">
        <f t="shared" ref="C17:H17" si="2">C13-C15</f>
        <v>-35.295749999999998</v>
      </c>
      <c r="D17" s="24">
        <f t="shared" si="2"/>
        <v>-39.528000000000006</v>
      </c>
      <c r="E17" s="24">
        <f t="shared" si="2"/>
        <v>-44.102249999999998</v>
      </c>
      <c r="F17" s="24">
        <f t="shared" si="2"/>
        <v>-49.029299999999992</v>
      </c>
      <c r="G17" s="24">
        <f t="shared" si="2"/>
        <v>-54.979399999999998</v>
      </c>
      <c r="H17" s="24">
        <f t="shared" si="2"/>
        <v>-60.066000000000017</v>
      </c>
    </row>
    <row r="18" spans="2:8" hidden="1" x14ac:dyDescent="0.25"/>
    <row r="20" spans="2:8" x14ac:dyDescent="0.25">
      <c r="B20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5"/>
  <sheetViews>
    <sheetView view="pageBreakPreview" topLeftCell="A111" zoomScale="60" zoomScaleNormal="100" workbookViewId="0">
      <selection activeCell="A2" sqref="A2:L123"/>
    </sheetView>
  </sheetViews>
  <sheetFormatPr defaultRowHeight="15" x14ac:dyDescent="0.25"/>
  <cols>
    <col min="1" max="1" width="4" style="1" bestFit="1" customWidth="1"/>
    <col min="2" max="2" width="44.85546875" style="1" bestFit="1" customWidth="1"/>
    <col min="3" max="6" width="12.28515625" style="1" bestFit="1" customWidth="1"/>
    <col min="7" max="8" width="13.42578125" style="1" bestFit="1" customWidth="1"/>
    <col min="9" max="10" width="13" style="1" bestFit="1" customWidth="1"/>
    <col min="11" max="11" width="13.42578125" style="1" bestFit="1" customWidth="1"/>
    <col min="12" max="12" width="13" style="1" bestFit="1" customWidth="1"/>
    <col min="13" max="16384" width="9.140625" style="1"/>
  </cols>
  <sheetData>
    <row r="2" spans="1:12" x14ac:dyDescent="0.25">
      <c r="A2" s="46" t="s">
        <v>76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22" t="s">
        <v>42</v>
      </c>
      <c r="J2" s="222" t="s">
        <v>490</v>
      </c>
      <c r="K2" s="222" t="s">
        <v>491</v>
      </c>
      <c r="L2" s="222" t="s">
        <v>492</v>
      </c>
    </row>
    <row r="3" spans="1:12" x14ac:dyDescent="0.25">
      <c r="A3" s="43"/>
      <c r="B3" s="26" t="s">
        <v>651</v>
      </c>
      <c r="C3" s="27"/>
      <c r="D3" s="27"/>
      <c r="E3" s="27"/>
      <c r="F3" s="27"/>
      <c r="G3" s="27"/>
      <c r="H3" s="27"/>
      <c r="I3" s="220"/>
      <c r="J3" s="6"/>
      <c r="K3" s="6"/>
      <c r="L3" s="6"/>
    </row>
    <row r="4" spans="1:12" x14ac:dyDescent="0.25">
      <c r="A4" s="7" t="s">
        <v>77</v>
      </c>
      <c r="B4" s="26" t="str">
        <f>'Output Schedule'!A27</f>
        <v>Tur Dall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78</v>
      </c>
      <c r="C5" s="36">
        <f>0</f>
        <v>0</v>
      </c>
      <c r="D5" s="36">
        <f>C8</f>
        <v>3</v>
      </c>
      <c r="E5" s="36">
        <f>D8</f>
        <v>3</v>
      </c>
      <c r="F5" s="36">
        <f>E8</f>
        <v>3</v>
      </c>
      <c r="G5" s="36">
        <f>F8</f>
        <v>4</v>
      </c>
      <c r="H5" s="36">
        <f t="shared" ref="H5:I5" si="0">G8</f>
        <v>4</v>
      </c>
      <c r="I5" s="36">
        <f t="shared" si="0"/>
        <v>4</v>
      </c>
      <c r="J5" s="36">
        <f t="shared" ref="J5" si="1">I8</f>
        <v>4</v>
      </c>
      <c r="K5" s="36">
        <f t="shared" ref="K5" si="2">J8</f>
        <v>4</v>
      </c>
      <c r="L5" s="36">
        <f t="shared" ref="L5" si="3">K8</f>
        <v>4</v>
      </c>
    </row>
    <row r="6" spans="1:12" x14ac:dyDescent="0.25">
      <c r="A6" s="43"/>
      <c r="B6" s="36" t="s">
        <v>79</v>
      </c>
      <c r="C6" s="37">
        <f>'Output Schedule'!B27</f>
        <v>74</v>
      </c>
      <c r="D6" s="37">
        <f>'Output Schedule'!C27</f>
        <v>74</v>
      </c>
      <c r="E6" s="37">
        <f>'Output Schedule'!D27</f>
        <v>79</v>
      </c>
      <c r="F6" s="37">
        <f>'Output Schedule'!E27</f>
        <v>84</v>
      </c>
      <c r="G6" s="37">
        <f>'Output Schedule'!F27</f>
        <v>89</v>
      </c>
      <c r="H6" s="37">
        <f>'Output Schedule'!G27</f>
        <v>94</v>
      </c>
      <c r="I6" s="37">
        <f>'Output Schedule'!H27</f>
        <v>99</v>
      </c>
      <c r="J6" s="37">
        <f>'Output Schedule'!I27</f>
        <v>99</v>
      </c>
      <c r="K6" s="37">
        <f>'Output Schedule'!J27</f>
        <v>99</v>
      </c>
      <c r="L6" s="37">
        <f>'Output Schedule'!K27</f>
        <v>99</v>
      </c>
    </row>
    <row r="7" spans="1:12" x14ac:dyDescent="0.25">
      <c r="A7" s="43"/>
      <c r="B7" s="36" t="s">
        <v>80</v>
      </c>
      <c r="C7" s="36">
        <f>C5+C6-C8</f>
        <v>71</v>
      </c>
      <c r="D7" s="36">
        <f>D5+D6-D8</f>
        <v>74</v>
      </c>
      <c r="E7" s="36">
        <f>E5+E6-E8</f>
        <v>79</v>
      </c>
      <c r="F7" s="36">
        <f>F5+F6-F8</f>
        <v>83</v>
      </c>
      <c r="G7" s="36">
        <f>G5+G6-G8</f>
        <v>89</v>
      </c>
      <c r="H7" s="36">
        <f t="shared" ref="H7:I7" si="4">H5+H6-H8</f>
        <v>94</v>
      </c>
      <c r="I7" s="36">
        <f t="shared" si="4"/>
        <v>99</v>
      </c>
      <c r="J7" s="36">
        <f t="shared" ref="J7:L7" si="5">J5+J6-J8</f>
        <v>99</v>
      </c>
      <c r="K7" s="36">
        <f t="shared" si="5"/>
        <v>99</v>
      </c>
      <c r="L7" s="36">
        <f t="shared" si="5"/>
        <v>99</v>
      </c>
    </row>
    <row r="8" spans="1:12" x14ac:dyDescent="0.25">
      <c r="A8" s="43"/>
      <c r="B8" s="36" t="s">
        <v>81</v>
      </c>
      <c r="C8" s="36">
        <f>ROUND((C6+C5)/24,0)</f>
        <v>3</v>
      </c>
      <c r="D8" s="36">
        <f t="shared" ref="D8:L8" si="6">ROUND((D6+D5)/24,0)</f>
        <v>3</v>
      </c>
      <c r="E8" s="36">
        <f t="shared" si="6"/>
        <v>3</v>
      </c>
      <c r="F8" s="36">
        <f t="shared" si="6"/>
        <v>4</v>
      </c>
      <c r="G8" s="36">
        <f t="shared" si="6"/>
        <v>4</v>
      </c>
      <c r="H8" s="36">
        <f t="shared" si="6"/>
        <v>4</v>
      </c>
      <c r="I8" s="36">
        <f t="shared" si="6"/>
        <v>4</v>
      </c>
      <c r="J8" s="36">
        <f t="shared" si="6"/>
        <v>4</v>
      </c>
      <c r="K8" s="36">
        <f t="shared" si="6"/>
        <v>4</v>
      </c>
      <c r="L8" s="36">
        <f t="shared" si="6"/>
        <v>4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82</v>
      </c>
      <c r="B10" s="8" t="str">
        <f>+'Output Schedule'!A28</f>
        <v>Cattle Feed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78</v>
      </c>
      <c r="C11" s="36">
        <f>0</f>
        <v>0</v>
      </c>
      <c r="D11" s="36">
        <f>C14</f>
        <v>1</v>
      </c>
      <c r="E11" s="36">
        <f>D14</f>
        <v>1</v>
      </c>
      <c r="F11" s="36">
        <f>E14</f>
        <v>1</v>
      </c>
      <c r="G11" s="36">
        <f>F14</f>
        <v>1</v>
      </c>
      <c r="H11" s="36">
        <f t="shared" ref="H11:I11" si="7">G14</f>
        <v>1</v>
      </c>
      <c r="I11" s="36">
        <f t="shared" si="7"/>
        <v>1</v>
      </c>
      <c r="J11" s="36">
        <f t="shared" ref="J11" si="8">I14</f>
        <v>1</v>
      </c>
      <c r="K11" s="36">
        <f t="shared" ref="K11" si="9">J14</f>
        <v>1</v>
      </c>
      <c r="L11" s="36">
        <f t="shared" ref="L11" si="10">K14</f>
        <v>1</v>
      </c>
    </row>
    <row r="12" spans="1:12" x14ac:dyDescent="0.25">
      <c r="A12" s="6"/>
      <c r="B12" s="36" t="s">
        <v>79</v>
      </c>
      <c r="C12" s="37">
        <f>'Output Schedule'!B28</f>
        <v>25</v>
      </c>
      <c r="D12" s="37">
        <f>'Output Schedule'!C28</f>
        <v>25</v>
      </c>
      <c r="E12" s="37">
        <f>'Output Schedule'!D28</f>
        <v>27</v>
      </c>
      <c r="F12" s="37">
        <f>'Output Schedule'!E28</f>
        <v>29</v>
      </c>
      <c r="G12" s="37">
        <f>'Output Schedule'!F28</f>
        <v>30</v>
      </c>
      <c r="H12" s="37">
        <f>'Output Schedule'!G28</f>
        <v>32</v>
      </c>
      <c r="I12" s="37">
        <f>'Output Schedule'!H28</f>
        <v>34</v>
      </c>
      <c r="J12" s="37">
        <f>'Output Schedule'!I28</f>
        <v>34</v>
      </c>
      <c r="K12" s="37">
        <f>'Output Schedule'!J28</f>
        <v>34</v>
      </c>
      <c r="L12" s="37">
        <f>'Output Schedule'!K28</f>
        <v>34</v>
      </c>
    </row>
    <row r="13" spans="1:12" x14ac:dyDescent="0.25">
      <c r="A13" s="6"/>
      <c r="B13" s="36" t="s">
        <v>80</v>
      </c>
      <c r="C13" s="36">
        <f>C11+C12-C14</f>
        <v>24</v>
      </c>
      <c r="D13" s="36">
        <f>D11+D12-D14</f>
        <v>25</v>
      </c>
      <c r="E13" s="36">
        <f>E11+E12-E14</f>
        <v>27</v>
      </c>
      <c r="F13" s="36">
        <f>F11+F12-F14</f>
        <v>29</v>
      </c>
      <c r="G13" s="36">
        <f>G11+G12-G14</f>
        <v>30</v>
      </c>
      <c r="H13" s="36">
        <f t="shared" ref="H13:I13" si="11">H11+H12-H14</f>
        <v>32</v>
      </c>
      <c r="I13" s="36">
        <f t="shared" si="11"/>
        <v>34</v>
      </c>
      <c r="J13" s="36">
        <f t="shared" ref="J13:L13" si="12">J11+J12-J14</f>
        <v>34</v>
      </c>
      <c r="K13" s="36">
        <f t="shared" si="12"/>
        <v>34</v>
      </c>
      <c r="L13" s="36">
        <f t="shared" si="12"/>
        <v>34</v>
      </c>
    </row>
    <row r="14" spans="1:12" x14ac:dyDescent="0.25">
      <c r="A14" s="6"/>
      <c r="B14" s="36" t="s">
        <v>81</v>
      </c>
      <c r="C14" s="36">
        <f>ROUND((C12+C11)/24,0)</f>
        <v>1</v>
      </c>
      <c r="D14" s="36">
        <f t="shared" ref="D14:L14" si="13">ROUND((D12+D11)/24,0)</f>
        <v>1</v>
      </c>
      <c r="E14" s="36">
        <f t="shared" si="13"/>
        <v>1</v>
      </c>
      <c r="F14" s="36">
        <f t="shared" si="13"/>
        <v>1</v>
      </c>
      <c r="G14" s="36">
        <f t="shared" si="13"/>
        <v>1</v>
      </c>
      <c r="H14" s="36">
        <f t="shared" si="13"/>
        <v>1</v>
      </c>
      <c r="I14" s="36">
        <f t="shared" si="13"/>
        <v>1</v>
      </c>
      <c r="J14" s="36">
        <f t="shared" si="13"/>
        <v>1</v>
      </c>
      <c r="K14" s="36">
        <f t="shared" si="13"/>
        <v>1</v>
      </c>
      <c r="L14" s="36">
        <f t="shared" si="13"/>
        <v>1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idden="1" x14ac:dyDescent="0.25">
      <c r="A16" s="7" t="s">
        <v>83</v>
      </c>
      <c r="B16" s="26" t="str">
        <f>'Output Schedule'!A29</f>
        <v>Bhusa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hidden="1" x14ac:dyDescent="0.25">
      <c r="A17" s="6"/>
      <c r="B17" s="36" t="s">
        <v>78</v>
      </c>
      <c r="C17" s="36">
        <f>0</f>
        <v>0</v>
      </c>
      <c r="D17" s="36">
        <f>C20</f>
        <v>0</v>
      </c>
      <c r="E17" s="36">
        <f>D20</f>
        <v>0</v>
      </c>
      <c r="F17" s="36">
        <f>E20</f>
        <v>0</v>
      </c>
      <c r="G17" s="36">
        <f>F20</f>
        <v>0</v>
      </c>
      <c r="H17" s="36">
        <f t="shared" ref="H17:I17" si="14">G20</f>
        <v>0</v>
      </c>
      <c r="I17" s="36">
        <f t="shared" si="14"/>
        <v>0</v>
      </c>
      <c r="J17" s="36">
        <f t="shared" ref="J17" si="15">I20</f>
        <v>0</v>
      </c>
      <c r="K17" s="36">
        <f t="shared" ref="K17" si="16">J20</f>
        <v>0</v>
      </c>
      <c r="L17" s="36">
        <f t="shared" ref="L17" si="17">K20</f>
        <v>0</v>
      </c>
    </row>
    <row r="18" spans="1:12" hidden="1" x14ac:dyDescent="0.25">
      <c r="A18" s="6"/>
      <c r="B18" s="36" t="s">
        <v>79</v>
      </c>
      <c r="C18" s="37">
        <f>'Output Schedule'!B29</f>
        <v>0</v>
      </c>
      <c r="D18" s="37">
        <f>'Output Schedule'!C29</f>
        <v>0</v>
      </c>
      <c r="E18" s="37">
        <f>'Output Schedule'!D29</f>
        <v>0</v>
      </c>
      <c r="F18" s="37">
        <f>'Output Schedule'!E29</f>
        <v>0</v>
      </c>
      <c r="G18" s="37">
        <f>'Output Schedule'!F29</f>
        <v>0</v>
      </c>
      <c r="H18" s="37">
        <f>'Output Schedule'!G29</f>
        <v>0</v>
      </c>
      <c r="I18" s="37">
        <f>'Output Schedule'!H29</f>
        <v>0</v>
      </c>
      <c r="J18" s="37">
        <f>'Output Schedule'!I29</f>
        <v>0</v>
      </c>
      <c r="K18" s="37">
        <f>'Output Schedule'!J29</f>
        <v>0</v>
      </c>
      <c r="L18" s="37">
        <f>'Output Schedule'!K29</f>
        <v>0</v>
      </c>
    </row>
    <row r="19" spans="1:12" hidden="1" x14ac:dyDescent="0.25">
      <c r="A19" s="6"/>
      <c r="B19" s="36" t="s">
        <v>80</v>
      </c>
      <c r="C19" s="36">
        <f>C17+C18-C20</f>
        <v>0</v>
      </c>
      <c r="D19" s="36">
        <f>D17+D18-D20</f>
        <v>0</v>
      </c>
      <c r="E19" s="36">
        <f>E17+E18-E20</f>
        <v>0</v>
      </c>
      <c r="F19" s="36">
        <f>F17+F18-F20</f>
        <v>0</v>
      </c>
      <c r="G19" s="36">
        <f>G17+G18-G20</f>
        <v>0</v>
      </c>
      <c r="H19" s="36">
        <f t="shared" ref="H19:I19" si="18">H17+H18-H20</f>
        <v>0</v>
      </c>
      <c r="I19" s="36">
        <f t="shared" si="18"/>
        <v>0</v>
      </c>
      <c r="J19" s="36">
        <f t="shared" ref="J19:L19" si="19">J17+J18-J20</f>
        <v>0</v>
      </c>
      <c r="K19" s="36">
        <f t="shared" si="19"/>
        <v>0</v>
      </c>
      <c r="L19" s="36">
        <f t="shared" si="19"/>
        <v>0</v>
      </c>
    </row>
    <row r="20" spans="1:12" hidden="1" x14ac:dyDescent="0.25">
      <c r="A20" s="6"/>
      <c r="B20" s="36" t="s">
        <v>81</v>
      </c>
      <c r="C20" s="36">
        <f>ROUND((C18+C17)/24,0)</f>
        <v>0</v>
      </c>
      <c r="D20" s="36">
        <f t="shared" ref="D20:L20" si="20">ROUND((D18+D17)/24,0)</f>
        <v>0</v>
      </c>
      <c r="E20" s="36">
        <f t="shared" si="20"/>
        <v>0</v>
      </c>
      <c r="F20" s="36">
        <f t="shared" si="20"/>
        <v>0</v>
      </c>
      <c r="G20" s="36">
        <f t="shared" si="20"/>
        <v>0</v>
      </c>
      <c r="H20" s="36">
        <f t="shared" si="20"/>
        <v>0</v>
      </c>
      <c r="I20" s="36">
        <f t="shared" si="20"/>
        <v>0</v>
      </c>
      <c r="J20" s="36">
        <f t="shared" si="20"/>
        <v>0</v>
      </c>
      <c r="K20" s="36">
        <f t="shared" si="20"/>
        <v>0</v>
      </c>
      <c r="L20" s="36">
        <f t="shared" si="20"/>
        <v>0</v>
      </c>
    </row>
    <row r="21" spans="1:12" hidden="1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hidden="1" x14ac:dyDescent="0.25">
      <c r="A22" s="263" t="s">
        <v>397</v>
      </c>
      <c r="B22" s="26" t="str">
        <f>'Output Schedule'!A30</f>
        <v>Powder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hidden="1" x14ac:dyDescent="0.25">
      <c r="A23" s="6"/>
      <c r="B23" s="36" t="s">
        <v>78</v>
      </c>
      <c r="C23" s="36">
        <f>0</f>
        <v>0</v>
      </c>
      <c r="D23" s="36">
        <f>C26</f>
        <v>0</v>
      </c>
      <c r="E23" s="36">
        <f>D26</f>
        <v>0</v>
      </c>
      <c r="F23" s="36">
        <f>E26</f>
        <v>0</v>
      </c>
      <c r="G23" s="36">
        <f>F26</f>
        <v>0</v>
      </c>
      <c r="H23" s="36">
        <f t="shared" ref="H23" si="21">G26</f>
        <v>0</v>
      </c>
      <c r="I23" s="36">
        <f t="shared" ref="I23" si="22">H26</f>
        <v>0</v>
      </c>
      <c r="J23" s="36">
        <f t="shared" ref="J23" si="23">I26</f>
        <v>0</v>
      </c>
      <c r="K23" s="36">
        <f t="shared" ref="K23" si="24">J26</f>
        <v>0</v>
      </c>
      <c r="L23" s="36">
        <f t="shared" ref="L23" si="25">K26</f>
        <v>0</v>
      </c>
    </row>
    <row r="24" spans="1:12" hidden="1" x14ac:dyDescent="0.25">
      <c r="A24" s="6"/>
      <c r="B24" s="36" t="s">
        <v>79</v>
      </c>
      <c r="C24" s="37">
        <f>'Output Schedule'!B30</f>
        <v>0</v>
      </c>
      <c r="D24" s="37">
        <f>'Output Schedule'!C30</f>
        <v>0</v>
      </c>
      <c r="E24" s="37">
        <f>'Output Schedule'!D30</f>
        <v>0</v>
      </c>
      <c r="F24" s="37">
        <f>'Output Schedule'!E30</f>
        <v>0</v>
      </c>
      <c r="G24" s="37">
        <f>'Output Schedule'!F30</f>
        <v>0</v>
      </c>
      <c r="H24" s="37">
        <f>'Output Schedule'!G30</f>
        <v>0</v>
      </c>
      <c r="I24" s="37">
        <f>'Output Schedule'!H30</f>
        <v>0</v>
      </c>
      <c r="J24" s="37">
        <f>'Output Schedule'!I30</f>
        <v>0</v>
      </c>
      <c r="K24" s="37">
        <f>'Output Schedule'!J30</f>
        <v>0</v>
      </c>
      <c r="L24" s="37">
        <f>'Output Schedule'!K30</f>
        <v>0</v>
      </c>
    </row>
    <row r="25" spans="1:12" hidden="1" x14ac:dyDescent="0.25">
      <c r="A25" s="6"/>
      <c r="B25" s="36" t="s">
        <v>80</v>
      </c>
      <c r="C25" s="36">
        <f>C23+C24-C26</f>
        <v>0</v>
      </c>
      <c r="D25" s="36">
        <f>D23+D24-D26</f>
        <v>0</v>
      </c>
      <c r="E25" s="36">
        <f>E23+E24-E26</f>
        <v>0</v>
      </c>
      <c r="F25" s="36">
        <f>F23+F24-F26</f>
        <v>0</v>
      </c>
      <c r="G25" s="36">
        <f>G23+G24-G26</f>
        <v>0</v>
      </c>
      <c r="H25" s="36">
        <f t="shared" ref="H25:L25" si="26">H23+H24-H26</f>
        <v>0</v>
      </c>
      <c r="I25" s="36">
        <f t="shared" si="26"/>
        <v>0</v>
      </c>
      <c r="J25" s="36">
        <f t="shared" si="26"/>
        <v>0</v>
      </c>
      <c r="K25" s="36">
        <f t="shared" si="26"/>
        <v>0</v>
      </c>
      <c r="L25" s="36">
        <f t="shared" si="26"/>
        <v>0</v>
      </c>
    </row>
    <row r="26" spans="1:12" hidden="1" x14ac:dyDescent="0.25">
      <c r="A26" s="6"/>
      <c r="B26" s="36" t="s">
        <v>81</v>
      </c>
      <c r="C26" s="36">
        <f>ROUND(C24/24,0)</f>
        <v>0</v>
      </c>
      <c r="D26" s="36">
        <f t="shared" ref="D26:L26" si="27">ROUND(D24/24,0)</f>
        <v>0</v>
      </c>
      <c r="E26" s="36">
        <f t="shared" si="27"/>
        <v>0</v>
      </c>
      <c r="F26" s="36">
        <f t="shared" si="27"/>
        <v>0</v>
      </c>
      <c r="G26" s="36">
        <f t="shared" si="27"/>
        <v>0</v>
      </c>
      <c r="H26" s="36">
        <f t="shared" si="27"/>
        <v>0</v>
      </c>
      <c r="I26" s="36">
        <f t="shared" si="27"/>
        <v>0</v>
      </c>
      <c r="J26" s="36">
        <f t="shared" si="27"/>
        <v>0</v>
      </c>
      <c r="K26" s="36">
        <f t="shared" si="27"/>
        <v>0</v>
      </c>
      <c r="L26" s="36">
        <f t="shared" si="27"/>
        <v>0</v>
      </c>
    </row>
    <row r="27" spans="1:12" hidden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idden="1" x14ac:dyDescent="0.25">
      <c r="A28" s="299" t="s">
        <v>397</v>
      </c>
      <c r="B28" s="26" t="str">
        <f>'Output Schedule'!A31</f>
        <v>Waste</v>
      </c>
      <c r="C28" s="8"/>
      <c r="D28" s="8"/>
      <c r="E28" s="8"/>
      <c r="F28" s="8"/>
      <c r="G28" s="8"/>
      <c r="H28" s="8"/>
      <c r="I28" s="8"/>
      <c r="J28" s="6"/>
      <c r="K28" s="6"/>
      <c r="L28" s="6"/>
    </row>
    <row r="29" spans="1:12" hidden="1" x14ac:dyDescent="0.25">
      <c r="A29" s="6"/>
      <c r="B29" s="36" t="s">
        <v>78</v>
      </c>
      <c r="C29" s="36">
        <f>0</f>
        <v>0</v>
      </c>
      <c r="D29" s="36">
        <f>C32</f>
        <v>0</v>
      </c>
      <c r="E29" s="36">
        <f>D32</f>
        <v>0</v>
      </c>
      <c r="F29" s="36">
        <f>E32</f>
        <v>0</v>
      </c>
      <c r="G29" s="36">
        <f>F32</f>
        <v>0</v>
      </c>
      <c r="H29" s="36">
        <f t="shared" ref="H29" si="28">G32</f>
        <v>0</v>
      </c>
      <c r="I29" s="36">
        <f t="shared" ref="I29" si="29">H32</f>
        <v>0</v>
      </c>
      <c r="J29" s="36">
        <f t="shared" ref="J29" si="30">I32</f>
        <v>0</v>
      </c>
      <c r="K29" s="36">
        <f t="shared" ref="K29" si="31">J32</f>
        <v>0</v>
      </c>
      <c r="L29" s="36">
        <f t="shared" ref="L29" si="32">K32</f>
        <v>0</v>
      </c>
    </row>
    <row r="30" spans="1:12" hidden="1" x14ac:dyDescent="0.25">
      <c r="A30" s="6"/>
      <c r="B30" s="36" t="s">
        <v>79</v>
      </c>
      <c r="C30" s="37">
        <f>'Output Schedule'!B31</f>
        <v>2</v>
      </c>
      <c r="D30" s="37">
        <f>'Output Schedule'!C31</f>
        <v>2</v>
      </c>
      <c r="E30" s="37">
        <f>'Output Schedule'!D31</f>
        <v>2</v>
      </c>
      <c r="F30" s="37">
        <f>'Output Schedule'!E31</f>
        <v>2</v>
      </c>
      <c r="G30" s="37">
        <f>'Output Schedule'!F31</f>
        <v>2</v>
      </c>
      <c r="H30" s="37">
        <f>'Output Schedule'!G31</f>
        <v>3</v>
      </c>
      <c r="I30" s="37">
        <f>'Output Schedule'!H31</f>
        <v>3</v>
      </c>
      <c r="J30" s="37">
        <f>'Output Schedule'!I31</f>
        <v>3</v>
      </c>
      <c r="K30" s="37">
        <f>'Output Schedule'!J31</f>
        <v>3</v>
      </c>
      <c r="L30" s="37">
        <f>'Output Schedule'!K31</f>
        <v>3</v>
      </c>
    </row>
    <row r="31" spans="1:12" hidden="1" x14ac:dyDescent="0.25">
      <c r="A31" s="6"/>
      <c r="B31" s="36" t="s">
        <v>80</v>
      </c>
      <c r="C31" s="36">
        <f>C29+C30-C32</f>
        <v>2</v>
      </c>
      <c r="D31" s="36">
        <f>D29+D30-D32</f>
        <v>2</v>
      </c>
      <c r="E31" s="36">
        <f>E29+E30-E32</f>
        <v>2</v>
      </c>
      <c r="F31" s="36">
        <f>F29+F30-F32</f>
        <v>2</v>
      </c>
      <c r="G31" s="36">
        <f>G29+G30-G32</f>
        <v>2</v>
      </c>
      <c r="H31" s="36">
        <f t="shared" ref="H31:L31" si="33">H29+H30-H32</f>
        <v>3</v>
      </c>
      <c r="I31" s="36">
        <f t="shared" si="33"/>
        <v>3</v>
      </c>
      <c r="J31" s="36">
        <f t="shared" si="33"/>
        <v>3</v>
      </c>
      <c r="K31" s="36">
        <f t="shared" si="33"/>
        <v>3</v>
      </c>
      <c r="L31" s="36">
        <f t="shared" si="33"/>
        <v>3</v>
      </c>
    </row>
    <row r="32" spans="1:12" hidden="1" x14ac:dyDescent="0.25">
      <c r="A32" s="6"/>
      <c r="B32" s="36" t="s">
        <v>81</v>
      </c>
      <c r="C32" s="36">
        <f>ROUND(C30/24,0)</f>
        <v>0</v>
      </c>
      <c r="D32" s="36">
        <f t="shared" ref="D32:L32" si="34">ROUND(D30/24,0)</f>
        <v>0</v>
      </c>
      <c r="E32" s="36">
        <f t="shared" si="34"/>
        <v>0</v>
      </c>
      <c r="F32" s="36">
        <f t="shared" si="34"/>
        <v>0</v>
      </c>
      <c r="G32" s="36">
        <f t="shared" si="34"/>
        <v>0</v>
      </c>
      <c r="H32" s="36">
        <f t="shared" si="34"/>
        <v>0</v>
      </c>
      <c r="I32" s="36">
        <f t="shared" si="34"/>
        <v>0</v>
      </c>
      <c r="J32" s="36">
        <f t="shared" si="34"/>
        <v>0</v>
      </c>
      <c r="K32" s="36">
        <f t="shared" si="34"/>
        <v>0</v>
      </c>
      <c r="L32" s="36">
        <f t="shared" si="34"/>
        <v>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26" t="s">
        <v>84</v>
      </c>
      <c r="C34" s="3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43" t="s">
        <v>77</v>
      </c>
      <c r="B35" s="33" t="str">
        <f>+B4</f>
        <v>Tur Dall</v>
      </c>
      <c r="C35" s="42">
        <v>85000</v>
      </c>
      <c r="D35" s="45">
        <f>ROUND(C35*1.05,-1)</f>
        <v>89250</v>
      </c>
      <c r="E35" s="45">
        <f t="shared" ref="E35:L35" si="35">ROUND(D35*1.05,-1)</f>
        <v>93710</v>
      </c>
      <c r="F35" s="45">
        <f t="shared" si="35"/>
        <v>98400</v>
      </c>
      <c r="G35" s="45">
        <f t="shared" si="35"/>
        <v>103320</v>
      </c>
      <c r="H35" s="45">
        <f t="shared" si="35"/>
        <v>108490</v>
      </c>
      <c r="I35" s="45">
        <f t="shared" si="35"/>
        <v>113910</v>
      </c>
      <c r="J35" s="45">
        <f t="shared" si="35"/>
        <v>119610</v>
      </c>
      <c r="K35" s="45">
        <f t="shared" si="35"/>
        <v>125590</v>
      </c>
      <c r="L35" s="45">
        <f t="shared" si="35"/>
        <v>131870</v>
      </c>
    </row>
    <row r="36" spans="1:12" x14ac:dyDescent="0.25">
      <c r="A36" s="43" t="s">
        <v>82</v>
      </c>
      <c r="B36" s="33" t="str">
        <f>B10</f>
        <v>Cattle Feed</v>
      </c>
      <c r="C36" s="42">
        <v>20000</v>
      </c>
      <c r="D36" s="45">
        <f>ROUND(C36*1.05,-1)</f>
        <v>21000</v>
      </c>
      <c r="E36" s="45">
        <f t="shared" ref="E36:L36" si="36">ROUND(D36*1.05,-1)</f>
        <v>22050</v>
      </c>
      <c r="F36" s="45">
        <f t="shared" si="36"/>
        <v>23150</v>
      </c>
      <c r="G36" s="45">
        <f t="shared" si="36"/>
        <v>24310</v>
      </c>
      <c r="H36" s="45">
        <f t="shared" si="36"/>
        <v>25530</v>
      </c>
      <c r="I36" s="45">
        <f t="shared" si="36"/>
        <v>26810</v>
      </c>
      <c r="J36" s="45">
        <f t="shared" si="36"/>
        <v>28150</v>
      </c>
      <c r="K36" s="45">
        <f t="shared" si="36"/>
        <v>29560</v>
      </c>
      <c r="L36" s="45">
        <f t="shared" si="36"/>
        <v>31040</v>
      </c>
    </row>
    <row r="37" spans="1:12" hidden="1" x14ac:dyDescent="0.25">
      <c r="A37" s="43" t="s">
        <v>83</v>
      </c>
      <c r="B37" s="33" t="str">
        <f>B16</f>
        <v>Bhusa</v>
      </c>
      <c r="C37" s="42">
        <v>0</v>
      </c>
      <c r="D37" s="45">
        <f>ROUND(C37*1.05,-1)</f>
        <v>0</v>
      </c>
      <c r="E37" s="45">
        <f t="shared" ref="E37:L37" si="37">ROUND(D37*1.05,-1)</f>
        <v>0</v>
      </c>
      <c r="F37" s="45">
        <f t="shared" si="37"/>
        <v>0</v>
      </c>
      <c r="G37" s="45">
        <f t="shared" si="37"/>
        <v>0</v>
      </c>
      <c r="H37" s="45">
        <f t="shared" si="37"/>
        <v>0</v>
      </c>
      <c r="I37" s="45">
        <f t="shared" si="37"/>
        <v>0</v>
      </c>
      <c r="J37" s="45">
        <f t="shared" si="37"/>
        <v>0</v>
      </c>
      <c r="K37" s="45">
        <f t="shared" si="37"/>
        <v>0</v>
      </c>
      <c r="L37" s="45">
        <f t="shared" si="37"/>
        <v>0</v>
      </c>
    </row>
    <row r="38" spans="1:12" hidden="1" x14ac:dyDescent="0.25">
      <c r="A38" s="43" t="s">
        <v>397</v>
      </c>
      <c r="B38" s="33" t="str">
        <f>B22</f>
        <v>Powder</v>
      </c>
      <c r="C38" s="42">
        <v>0</v>
      </c>
      <c r="D38" s="45">
        <f>ROUND(C38*1.05,-1)</f>
        <v>0</v>
      </c>
      <c r="E38" s="45">
        <f t="shared" ref="E38:L38" si="38">ROUND(D38*1.05,-1)</f>
        <v>0</v>
      </c>
      <c r="F38" s="45">
        <f t="shared" si="38"/>
        <v>0</v>
      </c>
      <c r="G38" s="45">
        <f t="shared" si="38"/>
        <v>0</v>
      </c>
      <c r="H38" s="45">
        <f t="shared" si="38"/>
        <v>0</v>
      </c>
      <c r="I38" s="45">
        <f t="shared" si="38"/>
        <v>0</v>
      </c>
      <c r="J38" s="45">
        <f t="shared" si="38"/>
        <v>0</v>
      </c>
      <c r="K38" s="45">
        <f t="shared" si="38"/>
        <v>0</v>
      </c>
      <c r="L38" s="45">
        <f t="shared" si="38"/>
        <v>0</v>
      </c>
    </row>
    <row r="39" spans="1:12" hidden="1" x14ac:dyDescent="0.25">
      <c r="A39" s="43" t="s">
        <v>398</v>
      </c>
      <c r="B39" s="33" t="str">
        <f>B28</f>
        <v>Waste</v>
      </c>
      <c r="C39" s="42">
        <v>0</v>
      </c>
      <c r="D39" s="45">
        <f>ROUND(C39*1.05,-1)</f>
        <v>0</v>
      </c>
      <c r="E39" s="45">
        <f t="shared" ref="E39" si="39">ROUND(D39*1.05,-1)</f>
        <v>0</v>
      </c>
      <c r="F39" s="45">
        <f t="shared" ref="F39" si="40">ROUND(E39*1.05,-1)</f>
        <v>0</v>
      </c>
      <c r="G39" s="45">
        <f t="shared" ref="G39" si="41">ROUND(F39*1.05,-1)</f>
        <v>0</v>
      </c>
      <c r="H39" s="45">
        <f t="shared" ref="H39" si="42">ROUND(G39*1.05,-1)</f>
        <v>0</v>
      </c>
      <c r="I39" s="45">
        <f t="shared" ref="I39" si="43">ROUND(H39*1.05,-1)</f>
        <v>0</v>
      </c>
      <c r="J39" s="45">
        <f t="shared" ref="J39" si="44">ROUND(I39*1.05,-1)</f>
        <v>0</v>
      </c>
      <c r="K39" s="45">
        <f t="shared" ref="K39" si="45">ROUND(J39*1.05,-1)</f>
        <v>0</v>
      </c>
      <c r="L39" s="45">
        <f t="shared" ref="L39" si="46">ROUND(K39*1.05,-1)</f>
        <v>0</v>
      </c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8" t="s">
        <v>77</v>
      </c>
      <c r="B41" s="8" t="str">
        <f>B35</f>
        <v>Tur Dall</v>
      </c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36" t="s">
        <v>70</v>
      </c>
      <c r="C42" s="42">
        <v>0</v>
      </c>
      <c r="D42" s="42">
        <f>C43</f>
        <v>2.5499999999999998</v>
      </c>
      <c r="E42" s="42">
        <f>D43</f>
        <v>2.6775000000000002</v>
      </c>
      <c r="F42" s="42">
        <f t="shared" ref="F42:I42" si="47">E43</f>
        <v>2.8113000000000001</v>
      </c>
      <c r="G42" s="42">
        <f t="shared" si="47"/>
        <v>3.9359999999999999</v>
      </c>
      <c r="H42" s="42">
        <f t="shared" si="47"/>
        <v>4.1327999999999996</v>
      </c>
      <c r="I42" s="42">
        <f t="shared" si="47"/>
        <v>4.3395999999999999</v>
      </c>
      <c r="J42" s="42">
        <f t="shared" ref="J42" si="48">I43</f>
        <v>4.5564</v>
      </c>
      <c r="K42" s="42">
        <f t="shared" ref="K42" si="49">J43</f>
        <v>4.7843999999999998</v>
      </c>
      <c r="L42" s="42">
        <f t="shared" ref="L42" si="50">K43</f>
        <v>5.0236000000000001</v>
      </c>
    </row>
    <row r="43" spans="1:12" x14ac:dyDescent="0.25">
      <c r="A43" s="6"/>
      <c r="B43" s="36" t="s">
        <v>71</v>
      </c>
      <c r="C43" s="42">
        <f>C8*C35/100000</f>
        <v>2.5499999999999998</v>
      </c>
      <c r="D43" s="42">
        <f t="shared" ref="D43:I43" si="51">D8*D35/100000</f>
        <v>2.6775000000000002</v>
      </c>
      <c r="E43" s="42">
        <f t="shared" si="51"/>
        <v>2.8113000000000001</v>
      </c>
      <c r="F43" s="42">
        <f t="shared" si="51"/>
        <v>3.9359999999999999</v>
      </c>
      <c r="G43" s="42">
        <f t="shared" si="51"/>
        <v>4.1327999999999996</v>
      </c>
      <c r="H43" s="42">
        <f t="shared" si="51"/>
        <v>4.3395999999999999</v>
      </c>
      <c r="I43" s="42">
        <f t="shared" si="51"/>
        <v>4.5564</v>
      </c>
      <c r="J43" s="42">
        <f t="shared" ref="J43:L43" si="52">J8*J35/100000</f>
        <v>4.7843999999999998</v>
      </c>
      <c r="K43" s="42">
        <f t="shared" si="52"/>
        <v>5.0236000000000001</v>
      </c>
      <c r="L43" s="42">
        <f t="shared" si="52"/>
        <v>5.2747999999999999</v>
      </c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8" t="s">
        <v>82</v>
      </c>
      <c r="B45" s="8" t="str">
        <f>B10</f>
        <v>Cattle Feed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36" t="s">
        <v>70</v>
      </c>
      <c r="C46" s="42">
        <v>0</v>
      </c>
      <c r="D46" s="42">
        <f>C47</f>
        <v>0.2</v>
      </c>
      <c r="E46" s="42">
        <f>D47</f>
        <v>0.21</v>
      </c>
      <c r="F46" s="42">
        <f t="shared" ref="F46:I46" si="53">E47</f>
        <v>0.2205</v>
      </c>
      <c r="G46" s="42">
        <f t="shared" si="53"/>
        <v>0.23150000000000001</v>
      </c>
      <c r="H46" s="42">
        <f t="shared" si="53"/>
        <v>0.24310000000000001</v>
      </c>
      <c r="I46" s="42">
        <f t="shared" si="53"/>
        <v>0.25530000000000003</v>
      </c>
      <c r="J46" s="42">
        <f t="shared" ref="J46" si="54">I47</f>
        <v>0.2681</v>
      </c>
      <c r="K46" s="42">
        <f t="shared" ref="K46" si="55">J47</f>
        <v>0.28149999999999997</v>
      </c>
      <c r="L46" s="42">
        <f t="shared" ref="L46" si="56">K47</f>
        <v>0.29559999999999997</v>
      </c>
    </row>
    <row r="47" spans="1:12" x14ac:dyDescent="0.25">
      <c r="A47" s="6"/>
      <c r="B47" s="36" t="s">
        <v>71</v>
      </c>
      <c r="C47" s="42">
        <f>C36*C14/100000</f>
        <v>0.2</v>
      </c>
      <c r="D47" s="42">
        <f t="shared" ref="D47:I47" si="57">D36*D14/100000</f>
        <v>0.21</v>
      </c>
      <c r="E47" s="42">
        <f t="shared" si="57"/>
        <v>0.2205</v>
      </c>
      <c r="F47" s="42">
        <f t="shared" si="57"/>
        <v>0.23150000000000001</v>
      </c>
      <c r="G47" s="42">
        <f t="shared" si="57"/>
        <v>0.24310000000000001</v>
      </c>
      <c r="H47" s="42">
        <f t="shared" si="57"/>
        <v>0.25530000000000003</v>
      </c>
      <c r="I47" s="42">
        <f t="shared" si="57"/>
        <v>0.2681</v>
      </c>
      <c r="J47" s="42">
        <f t="shared" ref="J47:L47" si="58">J36*J14/100000</f>
        <v>0.28149999999999997</v>
      </c>
      <c r="K47" s="42">
        <f t="shared" si="58"/>
        <v>0.29559999999999997</v>
      </c>
      <c r="L47" s="42">
        <f t="shared" si="58"/>
        <v>0.31040000000000001</v>
      </c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idden="1" x14ac:dyDescent="0.25">
      <c r="A49" s="8" t="s">
        <v>83</v>
      </c>
      <c r="B49" s="8" t="str">
        <f>B16</f>
        <v>Bhusa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idden="1" x14ac:dyDescent="0.25">
      <c r="A50" s="6"/>
      <c r="B50" s="36" t="s">
        <v>70</v>
      </c>
      <c r="C50" s="42">
        <v>0</v>
      </c>
      <c r="D50" s="42">
        <f>C51</f>
        <v>0</v>
      </c>
      <c r="E50" s="42">
        <f>D51</f>
        <v>0</v>
      </c>
      <c r="F50" s="42">
        <f t="shared" ref="F50:I50" si="59">E51</f>
        <v>0</v>
      </c>
      <c r="G50" s="42">
        <f t="shared" si="59"/>
        <v>0</v>
      </c>
      <c r="H50" s="42">
        <f t="shared" si="59"/>
        <v>0</v>
      </c>
      <c r="I50" s="42">
        <f t="shared" si="59"/>
        <v>0</v>
      </c>
      <c r="J50" s="42">
        <f t="shared" ref="J50" si="60">I51</f>
        <v>0</v>
      </c>
      <c r="K50" s="42">
        <f t="shared" ref="K50" si="61">J51</f>
        <v>0</v>
      </c>
      <c r="L50" s="42">
        <f t="shared" ref="L50" si="62">K51</f>
        <v>0</v>
      </c>
    </row>
    <row r="51" spans="1:12" hidden="1" x14ac:dyDescent="0.25">
      <c r="A51" s="6"/>
      <c r="B51" s="36" t="s">
        <v>71</v>
      </c>
      <c r="C51" s="42">
        <f>C37*C20/100000</f>
        <v>0</v>
      </c>
      <c r="D51" s="42">
        <f t="shared" ref="D51:I51" si="63">D37*D20/100000</f>
        <v>0</v>
      </c>
      <c r="E51" s="42">
        <f t="shared" si="63"/>
        <v>0</v>
      </c>
      <c r="F51" s="42">
        <f t="shared" si="63"/>
        <v>0</v>
      </c>
      <c r="G51" s="42">
        <f t="shared" si="63"/>
        <v>0</v>
      </c>
      <c r="H51" s="42">
        <f t="shared" si="63"/>
        <v>0</v>
      </c>
      <c r="I51" s="42">
        <f t="shared" si="63"/>
        <v>0</v>
      </c>
      <c r="J51" s="42">
        <f t="shared" ref="J51:L51" si="64">J37*J20/100000</f>
        <v>0</v>
      </c>
      <c r="K51" s="42">
        <f t="shared" si="64"/>
        <v>0</v>
      </c>
      <c r="L51" s="42">
        <f t="shared" si="64"/>
        <v>0</v>
      </c>
    </row>
    <row r="52" spans="1:12" hidden="1" x14ac:dyDescent="0.25">
      <c r="A52" s="6"/>
      <c r="B52" s="36"/>
      <c r="C52" s="42"/>
      <c r="D52" s="42"/>
      <c r="E52" s="42"/>
      <c r="F52" s="42"/>
      <c r="G52" s="42"/>
      <c r="H52" s="42"/>
      <c r="I52" s="42"/>
      <c r="J52" s="6"/>
      <c r="K52" s="6"/>
      <c r="L52" s="6"/>
    </row>
    <row r="53" spans="1:12" hidden="1" x14ac:dyDescent="0.25">
      <c r="A53" s="6" t="s">
        <v>397</v>
      </c>
      <c r="B53" s="8" t="str">
        <f>B22</f>
        <v>Powder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idden="1" x14ac:dyDescent="0.25">
      <c r="A54" s="6"/>
      <c r="B54" s="36" t="s">
        <v>70</v>
      </c>
      <c r="C54" s="42">
        <v>0</v>
      </c>
      <c r="D54" s="42">
        <f>C55</f>
        <v>0</v>
      </c>
      <c r="E54" s="42">
        <f>D55</f>
        <v>0</v>
      </c>
      <c r="F54" s="42">
        <f t="shared" ref="F54" si="65">E55</f>
        <v>0</v>
      </c>
      <c r="G54" s="42">
        <f t="shared" ref="G54" si="66">F55</f>
        <v>0</v>
      </c>
      <c r="H54" s="42">
        <f t="shared" ref="H54" si="67">G55</f>
        <v>0</v>
      </c>
      <c r="I54" s="42">
        <f t="shared" ref="I54" si="68">H55</f>
        <v>0</v>
      </c>
      <c r="J54" s="42">
        <f t="shared" ref="J54" si="69">I55</f>
        <v>0</v>
      </c>
      <c r="K54" s="42">
        <f t="shared" ref="K54" si="70">J55</f>
        <v>0</v>
      </c>
      <c r="L54" s="42">
        <f t="shared" ref="L54" si="71">K55</f>
        <v>0</v>
      </c>
    </row>
    <row r="55" spans="1:12" hidden="1" x14ac:dyDescent="0.25">
      <c r="A55" s="6"/>
      <c r="B55" s="36" t="s">
        <v>71</v>
      </c>
      <c r="C55" s="42">
        <f>C38*C26/100000</f>
        <v>0</v>
      </c>
      <c r="D55" s="42">
        <f t="shared" ref="D55:L55" si="72">D38*D26/100000</f>
        <v>0</v>
      </c>
      <c r="E55" s="42">
        <f t="shared" si="72"/>
        <v>0</v>
      </c>
      <c r="F55" s="42">
        <f t="shared" si="72"/>
        <v>0</v>
      </c>
      <c r="G55" s="42">
        <f t="shared" si="72"/>
        <v>0</v>
      </c>
      <c r="H55" s="42">
        <f t="shared" si="72"/>
        <v>0</v>
      </c>
      <c r="I55" s="42">
        <f t="shared" si="72"/>
        <v>0</v>
      </c>
      <c r="J55" s="42">
        <f t="shared" si="72"/>
        <v>0</v>
      </c>
      <c r="K55" s="42">
        <f t="shared" si="72"/>
        <v>0</v>
      </c>
      <c r="L55" s="42">
        <f t="shared" si="72"/>
        <v>0</v>
      </c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idden="1" x14ac:dyDescent="0.25">
      <c r="A57" s="6" t="s">
        <v>397</v>
      </c>
      <c r="B57" s="8" t="str">
        <f>B28</f>
        <v>Waste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idden="1" x14ac:dyDescent="0.25">
      <c r="A58" s="6"/>
      <c r="B58" s="36" t="s">
        <v>70</v>
      </c>
      <c r="C58" s="42">
        <v>0</v>
      </c>
      <c r="D58" s="42">
        <f>C59</f>
        <v>0</v>
      </c>
      <c r="E58" s="42">
        <f>D59</f>
        <v>0</v>
      </c>
      <c r="F58" s="42">
        <f t="shared" ref="F58" si="73">E59</f>
        <v>0</v>
      </c>
      <c r="G58" s="42">
        <f t="shared" ref="G58" si="74">F59</f>
        <v>0</v>
      </c>
      <c r="H58" s="42">
        <f t="shared" ref="H58" si="75">G59</f>
        <v>0</v>
      </c>
      <c r="I58" s="42">
        <f t="shared" ref="I58" si="76">H59</f>
        <v>0</v>
      </c>
      <c r="J58" s="42">
        <f t="shared" ref="J58" si="77">I59</f>
        <v>0</v>
      </c>
      <c r="K58" s="42">
        <f t="shared" ref="K58" si="78">J59</f>
        <v>0</v>
      </c>
      <c r="L58" s="42">
        <f t="shared" ref="L58" si="79">K59</f>
        <v>0</v>
      </c>
    </row>
    <row r="59" spans="1:12" hidden="1" x14ac:dyDescent="0.25">
      <c r="A59" s="6"/>
      <c r="B59" s="36" t="s">
        <v>71</v>
      </c>
      <c r="C59" s="42">
        <f>C39*C32/100000</f>
        <v>0</v>
      </c>
      <c r="D59" s="42">
        <f t="shared" ref="D59:L59" si="80">D39*D32/100000</f>
        <v>0</v>
      </c>
      <c r="E59" s="42">
        <f t="shared" si="80"/>
        <v>0</v>
      </c>
      <c r="F59" s="42">
        <f t="shared" si="80"/>
        <v>0</v>
      </c>
      <c r="G59" s="42">
        <f t="shared" si="80"/>
        <v>0</v>
      </c>
      <c r="H59" s="42">
        <f t="shared" si="80"/>
        <v>0</v>
      </c>
      <c r="I59" s="42">
        <f t="shared" si="80"/>
        <v>0</v>
      </c>
      <c r="J59" s="42">
        <f t="shared" si="80"/>
        <v>0</v>
      </c>
      <c r="K59" s="42">
        <f t="shared" si="80"/>
        <v>0</v>
      </c>
      <c r="L59" s="42">
        <f t="shared" si="80"/>
        <v>0</v>
      </c>
    </row>
    <row r="60" spans="1:12" hidden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43"/>
      <c r="B61" s="26" t="s">
        <v>675</v>
      </c>
      <c r="C61" s="220"/>
      <c r="D61" s="220"/>
      <c r="E61" s="220"/>
      <c r="F61" s="220"/>
      <c r="G61" s="220"/>
      <c r="H61" s="220"/>
      <c r="I61" s="220"/>
      <c r="J61" s="6"/>
      <c r="K61" s="6"/>
      <c r="L61" s="6"/>
    </row>
    <row r="62" spans="1:12" x14ac:dyDescent="0.25">
      <c r="A62" s="299" t="s">
        <v>77</v>
      </c>
      <c r="B62" s="26" t="str">
        <f>'Output Schedule'!A34</f>
        <v>Chana Dall</v>
      </c>
      <c r="C62" s="36"/>
      <c r="D62" s="36"/>
      <c r="E62" s="36"/>
      <c r="F62" s="36"/>
      <c r="G62" s="36"/>
      <c r="H62" s="6"/>
      <c r="I62" s="6"/>
      <c r="J62" s="6"/>
      <c r="K62" s="6"/>
      <c r="L62" s="6"/>
    </row>
    <row r="63" spans="1:12" x14ac:dyDescent="0.25">
      <c r="A63" s="43"/>
      <c r="B63" s="36" t="s">
        <v>78</v>
      </c>
      <c r="C63" s="36">
        <f>0</f>
        <v>0</v>
      </c>
      <c r="D63" s="36">
        <f>C66</f>
        <v>2</v>
      </c>
      <c r="E63" s="36">
        <f>D66</f>
        <v>2</v>
      </c>
      <c r="F63" s="36">
        <f>E66</f>
        <v>2</v>
      </c>
      <c r="G63" s="36">
        <f>F66</f>
        <v>2</v>
      </c>
      <c r="H63" s="36">
        <f t="shared" ref="H63" si="81">G66</f>
        <v>3</v>
      </c>
      <c r="I63" s="36">
        <f t="shared" ref="I63" si="82">H66</f>
        <v>3</v>
      </c>
      <c r="J63" s="36">
        <f t="shared" ref="J63" si="83">I66</f>
        <v>3</v>
      </c>
      <c r="K63" s="36">
        <f t="shared" ref="K63" si="84">J66</f>
        <v>3</v>
      </c>
      <c r="L63" s="36">
        <f t="shared" ref="L63" si="85">K66</f>
        <v>3</v>
      </c>
    </row>
    <row r="64" spans="1:12" x14ac:dyDescent="0.25">
      <c r="A64" s="43"/>
      <c r="B64" s="36" t="s">
        <v>79</v>
      </c>
      <c r="C64" s="37">
        <f>+'Output Schedule'!B34</f>
        <v>51</v>
      </c>
      <c r="D64" s="37">
        <f>+'Output Schedule'!C34</f>
        <v>51</v>
      </c>
      <c r="E64" s="37">
        <f>+'Output Schedule'!D34</f>
        <v>54</v>
      </c>
      <c r="F64" s="37">
        <f>+'Output Schedule'!E34</f>
        <v>57</v>
      </c>
      <c r="G64" s="37">
        <f>+'Output Schedule'!F34</f>
        <v>61</v>
      </c>
      <c r="H64" s="37">
        <f>+'Output Schedule'!G34</f>
        <v>64</v>
      </c>
      <c r="I64" s="37">
        <f>+'Output Schedule'!H34</f>
        <v>68</v>
      </c>
      <c r="J64" s="37">
        <f>+'Output Schedule'!I34</f>
        <v>68</v>
      </c>
      <c r="K64" s="37">
        <f>+'Output Schedule'!J34</f>
        <v>68</v>
      </c>
      <c r="L64" s="37">
        <f>+'Output Schedule'!K34</f>
        <v>68</v>
      </c>
    </row>
    <row r="65" spans="1:12" x14ac:dyDescent="0.25">
      <c r="A65" s="43"/>
      <c r="B65" s="36" t="s">
        <v>80</v>
      </c>
      <c r="C65" s="36">
        <f>C63+C64-C66</f>
        <v>49</v>
      </c>
      <c r="D65" s="36">
        <f>D63+D64-D66</f>
        <v>51</v>
      </c>
      <c r="E65" s="36">
        <f>E63+E64-E66</f>
        <v>54</v>
      </c>
      <c r="F65" s="36">
        <f>F63+F64-F66</f>
        <v>57</v>
      </c>
      <c r="G65" s="36">
        <f>G63+G64-G66</f>
        <v>60</v>
      </c>
      <c r="H65" s="36">
        <f t="shared" ref="H65:L65" si="86">H63+H64-H66</f>
        <v>64</v>
      </c>
      <c r="I65" s="36">
        <f t="shared" si="86"/>
        <v>68</v>
      </c>
      <c r="J65" s="36">
        <f t="shared" si="86"/>
        <v>68</v>
      </c>
      <c r="K65" s="36">
        <f t="shared" si="86"/>
        <v>68</v>
      </c>
      <c r="L65" s="36">
        <f t="shared" si="86"/>
        <v>68</v>
      </c>
    </row>
    <row r="66" spans="1:12" x14ac:dyDescent="0.25">
      <c r="A66" s="43"/>
      <c r="B66" s="36" t="s">
        <v>81</v>
      </c>
      <c r="C66" s="36">
        <f>ROUND((C64+C63)/24,0)</f>
        <v>2</v>
      </c>
      <c r="D66" s="36">
        <f t="shared" ref="D66:L66" si="87">ROUND((D64+D63)/24,0)</f>
        <v>2</v>
      </c>
      <c r="E66" s="36">
        <f t="shared" si="87"/>
        <v>2</v>
      </c>
      <c r="F66" s="36">
        <f t="shared" si="87"/>
        <v>2</v>
      </c>
      <c r="G66" s="36">
        <f t="shared" si="87"/>
        <v>3</v>
      </c>
      <c r="H66" s="36">
        <f t="shared" si="87"/>
        <v>3</v>
      </c>
      <c r="I66" s="36">
        <f t="shared" si="87"/>
        <v>3</v>
      </c>
      <c r="J66" s="36">
        <f t="shared" si="87"/>
        <v>3</v>
      </c>
      <c r="K66" s="36">
        <f t="shared" si="87"/>
        <v>3</v>
      </c>
      <c r="L66" s="36">
        <f t="shared" si="87"/>
        <v>3</v>
      </c>
    </row>
    <row r="67" spans="1:1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s="3" customFormat="1" x14ac:dyDescent="0.25">
      <c r="A68" s="299" t="s">
        <v>82</v>
      </c>
      <c r="B68" s="8" t="str">
        <f>+'Output Schedule'!A35</f>
        <v>Chuni</v>
      </c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5">
      <c r="A69" s="6"/>
      <c r="B69" s="36" t="s">
        <v>78</v>
      </c>
      <c r="C69" s="36">
        <f>0</f>
        <v>0</v>
      </c>
      <c r="D69" s="36">
        <f>C72</f>
        <v>0</v>
      </c>
      <c r="E69" s="36">
        <f>D72</f>
        <v>0</v>
      </c>
      <c r="F69" s="36">
        <f>E72</f>
        <v>0</v>
      </c>
      <c r="G69" s="36">
        <f>F72</f>
        <v>0</v>
      </c>
      <c r="H69" s="36">
        <f t="shared" ref="H69" si="88">G72</f>
        <v>0</v>
      </c>
      <c r="I69" s="36">
        <f t="shared" ref="I69" si="89">H72</f>
        <v>0</v>
      </c>
      <c r="J69" s="36">
        <f t="shared" ref="J69" si="90">I72</f>
        <v>0</v>
      </c>
      <c r="K69" s="36">
        <f t="shared" ref="K69" si="91">J72</f>
        <v>0</v>
      </c>
      <c r="L69" s="36">
        <f t="shared" ref="L69" si="92">K72</f>
        <v>0</v>
      </c>
    </row>
    <row r="70" spans="1:12" x14ac:dyDescent="0.25">
      <c r="A70" s="6"/>
      <c r="B70" s="36" t="s">
        <v>79</v>
      </c>
      <c r="C70" s="37">
        <f>'Output Schedule'!B35</f>
        <v>5</v>
      </c>
      <c r="D70" s="37">
        <f>'Output Schedule'!C35</f>
        <v>5</v>
      </c>
      <c r="E70" s="37">
        <f>'Output Schedule'!D35</f>
        <v>6</v>
      </c>
      <c r="F70" s="37">
        <f>'Output Schedule'!E35</f>
        <v>6</v>
      </c>
      <c r="G70" s="37">
        <f>'Output Schedule'!F35</f>
        <v>6</v>
      </c>
      <c r="H70" s="37">
        <f>'Output Schedule'!G35</f>
        <v>7</v>
      </c>
      <c r="I70" s="37">
        <f>'Output Schedule'!H35</f>
        <v>7</v>
      </c>
      <c r="J70" s="37">
        <f>'Output Schedule'!I35</f>
        <v>7</v>
      </c>
      <c r="K70" s="37">
        <f>'Output Schedule'!J35</f>
        <v>7</v>
      </c>
      <c r="L70" s="37">
        <f>'Output Schedule'!K35</f>
        <v>7</v>
      </c>
    </row>
    <row r="71" spans="1:12" x14ac:dyDescent="0.25">
      <c r="A71" s="6"/>
      <c r="B71" s="36" t="s">
        <v>80</v>
      </c>
      <c r="C71" s="36">
        <f>C69+C70-C72</f>
        <v>5</v>
      </c>
      <c r="D71" s="36">
        <f>D69+D70-D72</f>
        <v>5</v>
      </c>
      <c r="E71" s="36">
        <f>E69+E70-E72</f>
        <v>6</v>
      </c>
      <c r="F71" s="36">
        <f>F69+F70-F72</f>
        <v>6</v>
      </c>
      <c r="G71" s="36">
        <f>G69+G70-G72</f>
        <v>6</v>
      </c>
      <c r="H71" s="36">
        <f t="shared" ref="H71:L71" si="93">H69+H70-H72</f>
        <v>7</v>
      </c>
      <c r="I71" s="36">
        <f t="shared" si="93"/>
        <v>7</v>
      </c>
      <c r="J71" s="36">
        <f t="shared" si="93"/>
        <v>7</v>
      </c>
      <c r="K71" s="36">
        <f t="shared" si="93"/>
        <v>7</v>
      </c>
      <c r="L71" s="36">
        <f t="shared" si="93"/>
        <v>7</v>
      </c>
    </row>
    <row r="72" spans="1:12" x14ac:dyDescent="0.25">
      <c r="A72" s="6"/>
      <c r="B72" s="36" t="s">
        <v>81</v>
      </c>
      <c r="C72" s="36">
        <f>ROUND((C70+C69)/24,0)</f>
        <v>0</v>
      </c>
      <c r="D72" s="36">
        <f t="shared" ref="D72:L72" si="94">ROUND((D70+D69)/24,0)</f>
        <v>0</v>
      </c>
      <c r="E72" s="36">
        <f t="shared" si="94"/>
        <v>0</v>
      </c>
      <c r="F72" s="36">
        <f t="shared" si="94"/>
        <v>0</v>
      </c>
      <c r="G72" s="36">
        <f t="shared" si="94"/>
        <v>0</v>
      </c>
      <c r="H72" s="36">
        <f t="shared" si="94"/>
        <v>0</v>
      </c>
      <c r="I72" s="36">
        <f t="shared" si="94"/>
        <v>0</v>
      </c>
      <c r="J72" s="36">
        <f t="shared" si="94"/>
        <v>0</v>
      </c>
      <c r="K72" s="36">
        <f t="shared" si="94"/>
        <v>0</v>
      </c>
      <c r="L72" s="36">
        <f t="shared" si="94"/>
        <v>0</v>
      </c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299" t="s">
        <v>83</v>
      </c>
      <c r="B74" s="26" t="str">
        <f>'Output Schedule'!A36</f>
        <v>Bhusa</v>
      </c>
      <c r="C74" s="8"/>
      <c r="D74" s="8"/>
      <c r="E74" s="8"/>
      <c r="F74" s="8"/>
      <c r="G74" s="8"/>
      <c r="H74" s="8"/>
      <c r="I74" s="8"/>
      <c r="J74" s="6"/>
      <c r="K74" s="6"/>
      <c r="L74" s="6"/>
    </row>
    <row r="75" spans="1:12" x14ac:dyDescent="0.25">
      <c r="A75" s="6"/>
      <c r="B75" s="36" t="s">
        <v>78</v>
      </c>
      <c r="C75" s="36">
        <f>0</f>
        <v>0</v>
      </c>
      <c r="D75" s="36">
        <f>C78</f>
        <v>0</v>
      </c>
      <c r="E75" s="36">
        <f>D78</f>
        <v>0</v>
      </c>
      <c r="F75" s="36">
        <f>E78</f>
        <v>0</v>
      </c>
      <c r="G75" s="36">
        <f>F78</f>
        <v>0</v>
      </c>
      <c r="H75" s="36">
        <f t="shared" ref="H75" si="95">G78</f>
        <v>1</v>
      </c>
      <c r="I75" s="36">
        <f t="shared" ref="I75" si="96">H78</f>
        <v>1</v>
      </c>
      <c r="J75" s="36">
        <f t="shared" ref="J75" si="97">I78</f>
        <v>1</v>
      </c>
      <c r="K75" s="36">
        <f t="shared" ref="K75" si="98">J78</f>
        <v>1</v>
      </c>
      <c r="L75" s="36">
        <f t="shared" ref="L75" si="99">K78</f>
        <v>1</v>
      </c>
    </row>
    <row r="76" spans="1:12" x14ac:dyDescent="0.25">
      <c r="A76" s="6"/>
      <c r="B76" s="36" t="s">
        <v>79</v>
      </c>
      <c r="C76" s="37">
        <f>'Output Schedule'!B36</f>
        <v>10</v>
      </c>
      <c r="D76" s="37">
        <f>'Output Schedule'!C36</f>
        <v>10</v>
      </c>
      <c r="E76" s="37">
        <f>'Output Schedule'!D36</f>
        <v>11</v>
      </c>
      <c r="F76" s="37">
        <f>'Output Schedule'!E36</f>
        <v>11</v>
      </c>
      <c r="G76" s="37">
        <f>'Output Schedule'!F36</f>
        <v>12</v>
      </c>
      <c r="H76" s="37">
        <f>'Output Schedule'!G36</f>
        <v>13</v>
      </c>
      <c r="I76" s="37">
        <f>'Output Schedule'!H36</f>
        <v>14</v>
      </c>
      <c r="J76" s="37">
        <f>'Output Schedule'!I36</f>
        <v>14</v>
      </c>
      <c r="K76" s="37">
        <f>'Output Schedule'!J36</f>
        <v>14</v>
      </c>
      <c r="L76" s="37">
        <f>'Output Schedule'!K36</f>
        <v>14</v>
      </c>
    </row>
    <row r="77" spans="1:12" x14ac:dyDescent="0.25">
      <c r="A77" s="6"/>
      <c r="B77" s="36" t="s">
        <v>80</v>
      </c>
      <c r="C77" s="36">
        <f>C75+C76-C78</f>
        <v>10</v>
      </c>
      <c r="D77" s="36">
        <f>D75+D76-D78</f>
        <v>10</v>
      </c>
      <c r="E77" s="36">
        <f>E75+E76-E78</f>
        <v>11</v>
      </c>
      <c r="F77" s="36">
        <f>F75+F76-F78</f>
        <v>11</v>
      </c>
      <c r="G77" s="36">
        <f>G75+G76-G78</f>
        <v>11</v>
      </c>
      <c r="H77" s="36">
        <f t="shared" ref="H77:L77" si="100">H75+H76-H78</f>
        <v>13</v>
      </c>
      <c r="I77" s="36">
        <f t="shared" si="100"/>
        <v>14</v>
      </c>
      <c r="J77" s="36">
        <f t="shared" si="100"/>
        <v>14</v>
      </c>
      <c r="K77" s="36">
        <f t="shared" si="100"/>
        <v>14</v>
      </c>
      <c r="L77" s="36">
        <f t="shared" si="100"/>
        <v>14</v>
      </c>
    </row>
    <row r="78" spans="1:12" x14ac:dyDescent="0.25">
      <c r="A78" s="6"/>
      <c r="B78" s="36" t="s">
        <v>81</v>
      </c>
      <c r="C78" s="36">
        <f>ROUND((C76+C75)/24,0)</f>
        <v>0</v>
      </c>
      <c r="D78" s="36">
        <f t="shared" ref="D78:L78" si="101">ROUND((D76+D75)/24,0)</f>
        <v>0</v>
      </c>
      <c r="E78" s="36">
        <f t="shared" si="101"/>
        <v>0</v>
      </c>
      <c r="F78" s="36">
        <f t="shared" si="101"/>
        <v>0</v>
      </c>
      <c r="G78" s="36">
        <f t="shared" si="101"/>
        <v>1</v>
      </c>
      <c r="H78" s="36">
        <f t="shared" si="101"/>
        <v>1</v>
      </c>
      <c r="I78" s="36">
        <f t="shared" si="101"/>
        <v>1</v>
      </c>
      <c r="J78" s="36">
        <f t="shared" si="101"/>
        <v>1</v>
      </c>
      <c r="K78" s="36">
        <f t="shared" si="101"/>
        <v>1</v>
      </c>
      <c r="L78" s="36">
        <f t="shared" si="101"/>
        <v>1</v>
      </c>
    </row>
    <row r="79" spans="1:12" x14ac:dyDescent="0.25">
      <c r="A79" s="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2" x14ac:dyDescent="0.25">
      <c r="A80" s="299" t="s">
        <v>397</v>
      </c>
      <c r="B80" s="26" t="str">
        <f>'Output Schedule'!A37</f>
        <v>Powder</v>
      </c>
      <c r="C80" s="8"/>
      <c r="D80" s="8"/>
      <c r="E80" s="8"/>
      <c r="F80" s="8"/>
      <c r="G80" s="8"/>
      <c r="H80" s="8"/>
      <c r="I80" s="8"/>
      <c r="J80" s="6"/>
      <c r="K80" s="6"/>
      <c r="L80" s="6"/>
    </row>
    <row r="81" spans="1:12" x14ac:dyDescent="0.25">
      <c r="A81" s="6"/>
      <c r="B81" s="36" t="s">
        <v>78</v>
      </c>
      <c r="C81" s="36">
        <f>0</f>
        <v>0</v>
      </c>
      <c r="D81" s="36">
        <f>C84</f>
        <v>0</v>
      </c>
      <c r="E81" s="36">
        <f>D84</f>
        <v>0</v>
      </c>
      <c r="F81" s="36">
        <f>E84</f>
        <v>0</v>
      </c>
      <c r="G81" s="36">
        <f>F84</f>
        <v>0</v>
      </c>
      <c r="H81" s="36">
        <f t="shared" ref="H81" si="102">G84</f>
        <v>0</v>
      </c>
      <c r="I81" s="36">
        <f t="shared" ref="I81" si="103">H84</f>
        <v>0</v>
      </c>
      <c r="J81" s="36">
        <f t="shared" ref="J81" si="104">I84</f>
        <v>0</v>
      </c>
      <c r="K81" s="36">
        <f t="shared" ref="K81" si="105">J84</f>
        <v>0</v>
      </c>
      <c r="L81" s="36">
        <f t="shared" ref="L81" si="106">K84</f>
        <v>0</v>
      </c>
    </row>
    <row r="82" spans="1:12" x14ac:dyDescent="0.25">
      <c r="A82" s="6"/>
      <c r="B82" s="36" t="s">
        <v>79</v>
      </c>
      <c r="C82" s="37">
        <f>'Output Schedule'!B37</f>
        <v>0</v>
      </c>
      <c r="D82" s="37">
        <f>'Output Schedule'!C37</f>
        <v>0</v>
      </c>
      <c r="E82" s="37">
        <f>'Output Schedule'!D37</f>
        <v>0</v>
      </c>
      <c r="F82" s="37">
        <f>'Output Schedule'!E37</f>
        <v>0</v>
      </c>
      <c r="G82" s="37">
        <f>'Output Schedule'!F37</f>
        <v>0</v>
      </c>
      <c r="H82" s="37">
        <f>'Output Schedule'!G37</f>
        <v>0</v>
      </c>
      <c r="I82" s="37">
        <f>'Output Schedule'!H37</f>
        <v>0</v>
      </c>
      <c r="J82" s="37">
        <f>'Output Schedule'!I37</f>
        <v>0</v>
      </c>
      <c r="K82" s="37">
        <f>'Output Schedule'!J37</f>
        <v>0</v>
      </c>
      <c r="L82" s="37">
        <f>'Output Schedule'!K37</f>
        <v>0</v>
      </c>
    </row>
    <row r="83" spans="1:12" x14ac:dyDescent="0.25">
      <c r="A83" s="6"/>
      <c r="B83" s="36" t="s">
        <v>80</v>
      </c>
      <c r="C83" s="36">
        <f>C81+C82-C84</f>
        <v>0</v>
      </c>
      <c r="D83" s="36">
        <f>D81+D82-D84</f>
        <v>0</v>
      </c>
      <c r="E83" s="36">
        <f>E81+E82-E84</f>
        <v>0</v>
      </c>
      <c r="F83" s="36">
        <f>F81+F82-F84</f>
        <v>0</v>
      </c>
      <c r="G83" s="36">
        <f>G81+G82-G84</f>
        <v>0</v>
      </c>
      <c r="H83" s="36">
        <f t="shared" ref="H83:L83" si="107">H81+H82-H84</f>
        <v>0</v>
      </c>
      <c r="I83" s="36">
        <f t="shared" si="107"/>
        <v>0</v>
      </c>
      <c r="J83" s="36">
        <f t="shared" si="107"/>
        <v>0</v>
      </c>
      <c r="K83" s="36">
        <f t="shared" si="107"/>
        <v>0</v>
      </c>
      <c r="L83" s="36">
        <f t="shared" si="107"/>
        <v>0</v>
      </c>
    </row>
    <row r="84" spans="1:12" x14ac:dyDescent="0.25">
      <c r="A84" s="6"/>
      <c r="B84" s="36" t="s">
        <v>81</v>
      </c>
      <c r="C84" s="36">
        <f>ROUND(C82/24,0)</f>
        <v>0</v>
      </c>
      <c r="D84" s="36">
        <f t="shared" ref="D84:L84" si="108">ROUND(D82/24,0)</f>
        <v>0</v>
      </c>
      <c r="E84" s="36">
        <f t="shared" si="108"/>
        <v>0</v>
      </c>
      <c r="F84" s="36">
        <f t="shared" si="108"/>
        <v>0</v>
      </c>
      <c r="G84" s="36">
        <f t="shared" si="108"/>
        <v>0</v>
      </c>
      <c r="H84" s="36">
        <f t="shared" si="108"/>
        <v>0</v>
      </c>
      <c r="I84" s="36">
        <f t="shared" si="108"/>
        <v>0</v>
      </c>
      <c r="J84" s="36">
        <f t="shared" si="108"/>
        <v>0</v>
      </c>
      <c r="K84" s="36">
        <f t="shared" si="108"/>
        <v>0</v>
      </c>
      <c r="L84" s="36">
        <f t="shared" si="108"/>
        <v>0</v>
      </c>
    </row>
    <row r="85" spans="1:12" x14ac:dyDescent="0.25">
      <c r="A85" s="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</row>
    <row r="86" spans="1:12" hidden="1" x14ac:dyDescent="0.25">
      <c r="A86" s="299" t="s">
        <v>398</v>
      </c>
      <c r="B86" s="26" t="str">
        <f>+'Output Schedule'!A38</f>
        <v>Waste</v>
      </c>
      <c r="C86" s="8"/>
      <c r="D86" s="8"/>
      <c r="E86" s="8"/>
      <c r="F86" s="8"/>
      <c r="G86" s="8"/>
      <c r="H86" s="8"/>
      <c r="I86" s="8"/>
      <c r="J86" s="6"/>
      <c r="K86" s="6"/>
      <c r="L86" s="6"/>
    </row>
    <row r="87" spans="1:12" hidden="1" x14ac:dyDescent="0.25">
      <c r="A87" s="6"/>
      <c r="B87" s="36" t="s">
        <v>78</v>
      </c>
      <c r="C87" s="36">
        <f>0</f>
        <v>0</v>
      </c>
      <c r="D87" s="36">
        <f>C90</f>
        <v>0</v>
      </c>
      <c r="E87" s="36">
        <f>D90</f>
        <v>0</v>
      </c>
      <c r="F87" s="36">
        <f>E90</f>
        <v>0</v>
      </c>
      <c r="G87" s="36">
        <f>F90</f>
        <v>0</v>
      </c>
      <c r="H87" s="36">
        <f t="shared" ref="H87" si="109">G90</f>
        <v>0</v>
      </c>
      <c r="I87" s="36">
        <f t="shared" ref="I87" si="110">H90</f>
        <v>0</v>
      </c>
      <c r="J87" s="36">
        <f t="shared" ref="J87" si="111">I90</f>
        <v>0</v>
      </c>
      <c r="K87" s="36">
        <f t="shared" ref="K87" si="112">J90</f>
        <v>0</v>
      </c>
      <c r="L87" s="36">
        <f t="shared" ref="L87" si="113">K90</f>
        <v>0</v>
      </c>
    </row>
    <row r="88" spans="1:12" hidden="1" x14ac:dyDescent="0.25">
      <c r="A88" s="6"/>
      <c r="B88" s="36" t="s">
        <v>79</v>
      </c>
      <c r="C88" s="37">
        <f>+'Output Schedule'!B38</f>
        <v>1</v>
      </c>
      <c r="D88" s="37">
        <f>+'Output Schedule'!C38</f>
        <v>1</v>
      </c>
      <c r="E88" s="37">
        <f>+'Output Schedule'!D38</f>
        <v>1</v>
      </c>
      <c r="F88" s="37">
        <f>+'Output Schedule'!E38</f>
        <v>2</v>
      </c>
      <c r="G88" s="37">
        <f>+'Output Schedule'!F38</f>
        <v>2</v>
      </c>
      <c r="H88" s="37">
        <f>+'Output Schedule'!G38</f>
        <v>2</v>
      </c>
      <c r="I88" s="37">
        <f>+'Output Schedule'!H38</f>
        <v>2</v>
      </c>
      <c r="J88" s="37">
        <f>+'Output Schedule'!I38</f>
        <v>2</v>
      </c>
      <c r="K88" s="37">
        <f>+'Output Schedule'!J38</f>
        <v>2</v>
      </c>
      <c r="L88" s="37">
        <f>+'Output Schedule'!K38</f>
        <v>2</v>
      </c>
    </row>
    <row r="89" spans="1:12" hidden="1" x14ac:dyDescent="0.25">
      <c r="A89" s="6"/>
      <c r="B89" s="36" t="s">
        <v>80</v>
      </c>
      <c r="C89" s="36">
        <f>C87+C88-C90</f>
        <v>1</v>
      </c>
      <c r="D89" s="36">
        <f>D87+D88-D90</f>
        <v>1</v>
      </c>
      <c r="E89" s="36">
        <f>E87+E88-E90</f>
        <v>1</v>
      </c>
      <c r="F89" s="36">
        <f>F87+F88-F90</f>
        <v>2</v>
      </c>
      <c r="G89" s="36">
        <f>G87+G88-G90</f>
        <v>2</v>
      </c>
      <c r="H89" s="36">
        <f t="shared" ref="H89:L89" si="114">H87+H88-H90</f>
        <v>2</v>
      </c>
      <c r="I89" s="36">
        <f t="shared" si="114"/>
        <v>2</v>
      </c>
      <c r="J89" s="36">
        <f t="shared" si="114"/>
        <v>2</v>
      </c>
      <c r="K89" s="36">
        <f t="shared" si="114"/>
        <v>2</v>
      </c>
      <c r="L89" s="36">
        <f t="shared" si="114"/>
        <v>2</v>
      </c>
    </row>
    <row r="90" spans="1:12" hidden="1" x14ac:dyDescent="0.25">
      <c r="A90" s="6"/>
      <c r="B90" s="36" t="s">
        <v>81</v>
      </c>
      <c r="C90" s="36">
        <f>ROUND(C88/24,0)</f>
        <v>0</v>
      </c>
      <c r="D90" s="36">
        <f t="shared" ref="D90:L90" si="115">ROUND(D88/24,0)</f>
        <v>0</v>
      </c>
      <c r="E90" s="36">
        <f t="shared" si="115"/>
        <v>0</v>
      </c>
      <c r="F90" s="36">
        <f t="shared" si="115"/>
        <v>0</v>
      </c>
      <c r="G90" s="36">
        <f t="shared" si="115"/>
        <v>0</v>
      </c>
      <c r="H90" s="36">
        <f t="shared" si="115"/>
        <v>0</v>
      </c>
      <c r="I90" s="36">
        <f t="shared" si="115"/>
        <v>0</v>
      </c>
      <c r="J90" s="36">
        <f t="shared" si="115"/>
        <v>0</v>
      </c>
      <c r="K90" s="36">
        <f t="shared" si="115"/>
        <v>0</v>
      </c>
      <c r="L90" s="36">
        <f t="shared" si="115"/>
        <v>0</v>
      </c>
    </row>
    <row r="91" spans="1:1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/>
      <c r="B92" s="26" t="s">
        <v>84</v>
      </c>
      <c r="C92" s="3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43" t="s">
        <v>77</v>
      </c>
      <c r="B93" s="33" t="str">
        <f>+B62</f>
        <v>Chana Dall</v>
      </c>
      <c r="C93" s="42">
        <v>80000</v>
      </c>
      <c r="D93" s="45">
        <f>ROUND(C93*1.05,-1)</f>
        <v>84000</v>
      </c>
      <c r="E93" s="45">
        <f t="shared" ref="E93:E96" si="116">ROUND(D93*1.05,-1)</f>
        <v>88200</v>
      </c>
      <c r="F93" s="45">
        <f t="shared" ref="F93:F96" si="117">ROUND(E93*1.05,-1)</f>
        <v>92610</v>
      </c>
      <c r="G93" s="45">
        <f t="shared" ref="G93:G96" si="118">ROUND(F93*1.05,-1)</f>
        <v>97240</v>
      </c>
      <c r="H93" s="45">
        <f t="shared" ref="H93:H96" si="119">ROUND(G93*1.05,-1)</f>
        <v>102100</v>
      </c>
      <c r="I93" s="45">
        <f t="shared" ref="I93:I96" si="120">ROUND(H93*1.05,-1)</f>
        <v>107210</v>
      </c>
      <c r="J93" s="45">
        <f t="shared" ref="J93:J96" si="121">ROUND(I93*1.05,-1)</f>
        <v>112570</v>
      </c>
      <c r="K93" s="45">
        <f t="shared" ref="K93:K96" si="122">ROUND(J93*1.05,-1)</f>
        <v>118200</v>
      </c>
      <c r="L93" s="45">
        <f t="shared" ref="L93:L96" si="123">ROUND(K93*1.05,-1)</f>
        <v>124110</v>
      </c>
    </row>
    <row r="94" spans="1:12" x14ac:dyDescent="0.25">
      <c r="A94" s="43" t="s">
        <v>82</v>
      </c>
      <c r="B94" s="33" t="str">
        <f>B68</f>
        <v>Chuni</v>
      </c>
      <c r="C94" s="42">
        <v>15000</v>
      </c>
      <c r="D94" s="45">
        <f>ROUND(C94*1.05,-1)</f>
        <v>15750</v>
      </c>
      <c r="E94" s="45">
        <f t="shared" si="116"/>
        <v>16540</v>
      </c>
      <c r="F94" s="45">
        <f t="shared" si="117"/>
        <v>17370</v>
      </c>
      <c r="G94" s="45">
        <f t="shared" si="118"/>
        <v>18240</v>
      </c>
      <c r="H94" s="45">
        <f t="shared" si="119"/>
        <v>19150</v>
      </c>
      <c r="I94" s="45">
        <f t="shared" si="120"/>
        <v>20110</v>
      </c>
      <c r="J94" s="45">
        <f t="shared" si="121"/>
        <v>21120</v>
      </c>
      <c r="K94" s="45">
        <f t="shared" si="122"/>
        <v>22180</v>
      </c>
      <c r="L94" s="45">
        <f t="shared" si="123"/>
        <v>23290</v>
      </c>
    </row>
    <row r="95" spans="1:12" x14ac:dyDescent="0.25">
      <c r="A95" s="43" t="s">
        <v>83</v>
      </c>
      <c r="B95" s="33" t="str">
        <f>B74</f>
        <v>Bhusa</v>
      </c>
      <c r="C95" s="42">
        <v>15000</v>
      </c>
      <c r="D95" s="45">
        <f>ROUND(C95*1.05,-1)</f>
        <v>15750</v>
      </c>
      <c r="E95" s="45">
        <f t="shared" si="116"/>
        <v>16540</v>
      </c>
      <c r="F95" s="45">
        <f t="shared" si="117"/>
        <v>17370</v>
      </c>
      <c r="G95" s="45">
        <f t="shared" si="118"/>
        <v>18240</v>
      </c>
      <c r="H95" s="45">
        <f t="shared" si="119"/>
        <v>19150</v>
      </c>
      <c r="I95" s="45">
        <f t="shared" si="120"/>
        <v>20110</v>
      </c>
      <c r="J95" s="45">
        <f t="shared" si="121"/>
        <v>21120</v>
      </c>
      <c r="K95" s="45">
        <f t="shared" si="122"/>
        <v>22180</v>
      </c>
      <c r="L95" s="45">
        <f t="shared" si="123"/>
        <v>23290</v>
      </c>
    </row>
    <row r="96" spans="1:12" x14ac:dyDescent="0.25">
      <c r="A96" s="43" t="s">
        <v>397</v>
      </c>
      <c r="B96" s="33" t="str">
        <f>B80</f>
        <v>Powder</v>
      </c>
      <c r="C96" s="42">
        <v>15000</v>
      </c>
      <c r="D96" s="45">
        <f>ROUND(C96*1.05,-1)</f>
        <v>15750</v>
      </c>
      <c r="E96" s="45">
        <f t="shared" si="116"/>
        <v>16540</v>
      </c>
      <c r="F96" s="45">
        <f t="shared" si="117"/>
        <v>17370</v>
      </c>
      <c r="G96" s="45">
        <f t="shared" si="118"/>
        <v>18240</v>
      </c>
      <c r="H96" s="45">
        <f t="shared" si="119"/>
        <v>19150</v>
      </c>
      <c r="I96" s="45">
        <f t="shared" si="120"/>
        <v>20110</v>
      </c>
      <c r="J96" s="45">
        <f t="shared" si="121"/>
        <v>21120</v>
      </c>
      <c r="K96" s="45">
        <f t="shared" si="122"/>
        <v>22180</v>
      </c>
      <c r="L96" s="45">
        <f t="shared" si="123"/>
        <v>23290</v>
      </c>
    </row>
    <row r="97" spans="1:12" hidden="1" x14ac:dyDescent="0.25">
      <c r="A97" s="43" t="s">
        <v>398</v>
      </c>
      <c r="B97" s="33" t="str">
        <f>B86</f>
        <v>Waste</v>
      </c>
      <c r="C97" s="42">
        <v>0</v>
      </c>
      <c r="D97" s="45">
        <f>ROUND(C97*1.05,-1)</f>
        <v>0</v>
      </c>
      <c r="E97" s="45">
        <f t="shared" ref="E97" si="124">ROUND(D97*1.05,-1)</f>
        <v>0</v>
      </c>
      <c r="F97" s="45">
        <f t="shared" ref="F97" si="125">ROUND(E97*1.05,-1)</f>
        <v>0</v>
      </c>
      <c r="G97" s="45">
        <f t="shared" ref="G97" si="126">ROUND(F97*1.05,-1)</f>
        <v>0</v>
      </c>
      <c r="H97" s="45">
        <f t="shared" ref="H97" si="127">ROUND(G97*1.05,-1)</f>
        <v>0</v>
      </c>
      <c r="I97" s="45">
        <f t="shared" ref="I97" si="128">ROUND(H97*1.05,-1)</f>
        <v>0</v>
      </c>
      <c r="J97" s="45">
        <f t="shared" ref="J97" si="129">ROUND(I97*1.05,-1)</f>
        <v>0</v>
      </c>
      <c r="K97" s="45">
        <f t="shared" ref="K97" si="130">ROUND(J97*1.05,-1)</f>
        <v>0</v>
      </c>
      <c r="L97" s="45">
        <f t="shared" ref="L97" si="131">ROUND(K97*1.05,-1)</f>
        <v>0</v>
      </c>
    </row>
    <row r="98" spans="1:1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5">
      <c r="A99" s="8" t="s">
        <v>77</v>
      </c>
      <c r="B99" s="8" t="str">
        <f>B93</f>
        <v>Chana Dall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5">
      <c r="A100" s="6"/>
      <c r="B100" s="36" t="s">
        <v>70</v>
      </c>
      <c r="C100" s="42">
        <v>0</v>
      </c>
      <c r="D100" s="42">
        <f>C101</f>
        <v>1.6</v>
      </c>
      <c r="E100" s="42">
        <f>D101</f>
        <v>1.68</v>
      </c>
      <c r="F100" s="42">
        <f t="shared" ref="F100" si="132">E101</f>
        <v>1.764</v>
      </c>
      <c r="G100" s="42">
        <f t="shared" ref="G100" si="133">F101</f>
        <v>1.8522000000000001</v>
      </c>
      <c r="H100" s="42">
        <f t="shared" ref="H100" si="134">G101</f>
        <v>2.9171999999999998</v>
      </c>
      <c r="I100" s="42">
        <f t="shared" ref="I100" si="135">H101</f>
        <v>3.0630000000000002</v>
      </c>
      <c r="J100" s="42">
        <f t="shared" ref="J100" si="136">I101</f>
        <v>3.2162999999999999</v>
      </c>
      <c r="K100" s="42">
        <f t="shared" ref="K100" si="137">J101</f>
        <v>3.3771</v>
      </c>
      <c r="L100" s="42">
        <f t="shared" ref="L100" si="138">K101</f>
        <v>3.5459999999999998</v>
      </c>
    </row>
    <row r="101" spans="1:12" x14ac:dyDescent="0.25">
      <c r="A101" s="6"/>
      <c r="B101" s="36" t="s">
        <v>71</v>
      </c>
      <c r="C101" s="42">
        <f>C66*C93/100000</f>
        <v>1.6</v>
      </c>
      <c r="D101" s="42">
        <f t="shared" ref="D101:L101" si="139">D66*D93/100000</f>
        <v>1.68</v>
      </c>
      <c r="E101" s="42">
        <f t="shared" si="139"/>
        <v>1.764</v>
      </c>
      <c r="F101" s="42">
        <f t="shared" si="139"/>
        <v>1.8522000000000001</v>
      </c>
      <c r="G101" s="42">
        <f t="shared" si="139"/>
        <v>2.9171999999999998</v>
      </c>
      <c r="H101" s="42">
        <f t="shared" si="139"/>
        <v>3.0630000000000002</v>
      </c>
      <c r="I101" s="42">
        <f t="shared" si="139"/>
        <v>3.2162999999999999</v>
      </c>
      <c r="J101" s="42">
        <f t="shared" si="139"/>
        <v>3.3771</v>
      </c>
      <c r="K101" s="42">
        <f t="shared" si="139"/>
        <v>3.5459999999999998</v>
      </c>
      <c r="L101" s="42">
        <f t="shared" si="139"/>
        <v>3.7233000000000001</v>
      </c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8" t="s">
        <v>82</v>
      </c>
      <c r="B103" s="8" t="str">
        <f>B68</f>
        <v>Chuni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5">
      <c r="A104" s="6"/>
      <c r="B104" s="36" t="s">
        <v>70</v>
      </c>
      <c r="C104" s="42">
        <v>0</v>
      </c>
      <c r="D104" s="42">
        <f>C105</f>
        <v>0</v>
      </c>
      <c r="E104" s="42">
        <f>D105</f>
        <v>0</v>
      </c>
      <c r="F104" s="42">
        <f t="shared" ref="F104" si="140">E105</f>
        <v>0</v>
      </c>
      <c r="G104" s="42">
        <f t="shared" ref="G104" si="141">F105</f>
        <v>0</v>
      </c>
      <c r="H104" s="42">
        <f t="shared" ref="H104" si="142">G105</f>
        <v>0</v>
      </c>
      <c r="I104" s="42">
        <f t="shared" ref="I104" si="143">H105</f>
        <v>0</v>
      </c>
      <c r="J104" s="42">
        <f t="shared" ref="J104" si="144">I105</f>
        <v>0</v>
      </c>
      <c r="K104" s="42">
        <f t="shared" ref="K104" si="145">J105</f>
        <v>0</v>
      </c>
      <c r="L104" s="42">
        <f t="shared" ref="L104" si="146">K105</f>
        <v>0</v>
      </c>
    </row>
    <row r="105" spans="1:12" x14ac:dyDescent="0.25">
      <c r="A105" s="6"/>
      <c r="B105" s="36" t="s">
        <v>71</v>
      </c>
      <c r="C105" s="42">
        <f>C94*C72/100000</f>
        <v>0</v>
      </c>
      <c r="D105" s="42">
        <f t="shared" ref="D105:L105" si="147">D94*D72/100000</f>
        <v>0</v>
      </c>
      <c r="E105" s="42">
        <f t="shared" si="147"/>
        <v>0</v>
      </c>
      <c r="F105" s="42">
        <f t="shared" si="147"/>
        <v>0</v>
      </c>
      <c r="G105" s="42">
        <f t="shared" si="147"/>
        <v>0</v>
      </c>
      <c r="H105" s="42">
        <f t="shared" si="147"/>
        <v>0</v>
      </c>
      <c r="I105" s="42">
        <f t="shared" si="147"/>
        <v>0</v>
      </c>
      <c r="J105" s="42">
        <f t="shared" si="147"/>
        <v>0</v>
      </c>
      <c r="K105" s="42">
        <f t="shared" si="147"/>
        <v>0</v>
      </c>
      <c r="L105" s="42">
        <f t="shared" si="147"/>
        <v>0</v>
      </c>
    </row>
    <row r="106" spans="1:1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5">
      <c r="A107" s="8" t="s">
        <v>83</v>
      </c>
      <c r="B107" s="8" t="str">
        <f>B74</f>
        <v>Bhusa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5">
      <c r="A108" s="6"/>
      <c r="B108" s="36" t="s">
        <v>70</v>
      </c>
      <c r="C108" s="42">
        <v>0</v>
      </c>
      <c r="D108" s="42">
        <f>C109</f>
        <v>0</v>
      </c>
      <c r="E108" s="42">
        <f>D109</f>
        <v>0</v>
      </c>
      <c r="F108" s="42">
        <f t="shared" ref="F108" si="148">E109</f>
        <v>0</v>
      </c>
      <c r="G108" s="42">
        <f t="shared" ref="G108" si="149">F109</f>
        <v>0</v>
      </c>
      <c r="H108" s="42">
        <f t="shared" ref="H108" si="150">G109</f>
        <v>0.18240000000000001</v>
      </c>
      <c r="I108" s="42">
        <f t="shared" ref="I108" si="151">H109</f>
        <v>0.1915</v>
      </c>
      <c r="J108" s="42">
        <f t="shared" ref="J108" si="152">I109</f>
        <v>0.2011</v>
      </c>
      <c r="K108" s="42">
        <f t="shared" ref="K108" si="153">J109</f>
        <v>0.2112</v>
      </c>
      <c r="L108" s="42">
        <f t="shared" ref="L108" si="154">K109</f>
        <v>0.2218</v>
      </c>
    </row>
    <row r="109" spans="1:12" x14ac:dyDescent="0.25">
      <c r="A109" s="6"/>
      <c r="B109" s="36" t="s">
        <v>71</v>
      </c>
      <c r="C109" s="42">
        <f>C95*C78/100000</f>
        <v>0</v>
      </c>
      <c r="D109" s="42">
        <f t="shared" ref="D109:L109" si="155">D95*D78/100000</f>
        <v>0</v>
      </c>
      <c r="E109" s="42">
        <f t="shared" si="155"/>
        <v>0</v>
      </c>
      <c r="F109" s="42">
        <f t="shared" si="155"/>
        <v>0</v>
      </c>
      <c r="G109" s="42">
        <f t="shared" si="155"/>
        <v>0.18240000000000001</v>
      </c>
      <c r="H109" s="42">
        <f t="shared" si="155"/>
        <v>0.1915</v>
      </c>
      <c r="I109" s="42">
        <f t="shared" si="155"/>
        <v>0.2011</v>
      </c>
      <c r="J109" s="42">
        <f t="shared" si="155"/>
        <v>0.2112</v>
      </c>
      <c r="K109" s="42">
        <f t="shared" si="155"/>
        <v>0.2218</v>
      </c>
      <c r="L109" s="42">
        <f t="shared" si="155"/>
        <v>0.2329</v>
      </c>
    </row>
    <row r="110" spans="1:12" x14ac:dyDescent="0.25">
      <c r="A110" s="6"/>
      <c r="B110" s="36"/>
      <c r="C110" s="42"/>
      <c r="D110" s="42"/>
      <c r="E110" s="42"/>
      <c r="F110" s="42"/>
      <c r="G110" s="42"/>
      <c r="H110" s="42"/>
      <c r="I110" s="42"/>
      <c r="J110" s="6"/>
      <c r="K110" s="6"/>
      <c r="L110" s="6"/>
    </row>
    <row r="111" spans="1:12" x14ac:dyDescent="0.25">
      <c r="A111" s="6" t="s">
        <v>397</v>
      </c>
      <c r="B111" s="8" t="str">
        <f>B80</f>
        <v>Powder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5">
      <c r="A112" s="6"/>
      <c r="B112" s="36" t="s">
        <v>70</v>
      </c>
      <c r="C112" s="42">
        <v>0</v>
      </c>
      <c r="D112" s="42">
        <f>C113</f>
        <v>0</v>
      </c>
      <c r="E112" s="42">
        <f>D113</f>
        <v>0</v>
      </c>
      <c r="F112" s="42">
        <f t="shared" ref="F112" si="156">E113</f>
        <v>0</v>
      </c>
      <c r="G112" s="42">
        <f t="shared" ref="G112" si="157">F113</f>
        <v>0</v>
      </c>
      <c r="H112" s="42">
        <f t="shared" ref="H112" si="158">G113</f>
        <v>0</v>
      </c>
      <c r="I112" s="42">
        <f t="shared" ref="I112" si="159">H113</f>
        <v>0</v>
      </c>
      <c r="J112" s="42">
        <f t="shared" ref="J112" si="160">I113</f>
        <v>0</v>
      </c>
      <c r="K112" s="42">
        <f t="shared" ref="K112" si="161">J113</f>
        <v>0</v>
      </c>
      <c r="L112" s="42">
        <f t="shared" ref="L112" si="162">K113</f>
        <v>0</v>
      </c>
    </row>
    <row r="113" spans="1:12" x14ac:dyDescent="0.25">
      <c r="A113" s="6"/>
      <c r="B113" s="36" t="s">
        <v>71</v>
      </c>
      <c r="C113" s="42">
        <f>C96*C84/100000</f>
        <v>0</v>
      </c>
      <c r="D113" s="42">
        <f t="shared" ref="D113:L113" si="163">D96*D84/100000</f>
        <v>0</v>
      </c>
      <c r="E113" s="42">
        <f t="shared" si="163"/>
        <v>0</v>
      </c>
      <c r="F113" s="42">
        <f t="shared" si="163"/>
        <v>0</v>
      </c>
      <c r="G113" s="42">
        <f t="shared" si="163"/>
        <v>0</v>
      </c>
      <c r="H113" s="42">
        <f t="shared" si="163"/>
        <v>0</v>
      </c>
      <c r="I113" s="42">
        <f t="shared" si="163"/>
        <v>0</v>
      </c>
      <c r="J113" s="42">
        <f t="shared" si="163"/>
        <v>0</v>
      </c>
      <c r="K113" s="42">
        <f t="shared" si="163"/>
        <v>0</v>
      </c>
      <c r="L113" s="42">
        <f t="shared" si="163"/>
        <v>0</v>
      </c>
    </row>
    <row r="114" spans="1:1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idden="1" x14ac:dyDescent="0.25">
      <c r="A115" s="6" t="s">
        <v>397</v>
      </c>
      <c r="B115" s="8" t="str">
        <f>B86</f>
        <v>Waste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idden="1" x14ac:dyDescent="0.25">
      <c r="A116" s="6"/>
      <c r="B116" s="36" t="s">
        <v>70</v>
      </c>
      <c r="C116" s="42">
        <v>0</v>
      </c>
      <c r="D116" s="42">
        <f>C117</f>
        <v>0</v>
      </c>
      <c r="E116" s="42">
        <f>D117</f>
        <v>0</v>
      </c>
      <c r="F116" s="42">
        <f t="shared" ref="F116" si="164">E117</f>
        <v>0</v>
      </c>
      <c r="G116" s="42">
        <f t="shared" ref="G116" si="165">F117</f>
        <v>0</v>
      </c>
      <c r="H116" s="42">
        <f t="shared" ref="H116" si="166">G117</f>
        <v>0</v>
      </c>
      <c r="I116" s="42">
        <f t="shared" ref="I116" si="167">H117</f>
        <v>0</v>
      </c>
      <c r="J116" s="42">
        <f t="shared" ref="J116" si="168">I117</f>
        <v>0</v>
      </c>
      <c r="K116" s="42">
        <f t="shared" ref="K116" si="169">J117</f>
        <v>0</v>
      </c>
      <c r="L116" s="42">
        <f t="shared" ref="L116" si="170">K117</f>
        <v>0</v>
      </c>
    </row>
    <row r="117" spans="1:12" hidden="1" x14ac:dyDescent="0.25">
      <c r="A117" s="6"/>
      <c r="B117" s="36" t="s">
        <v>71</v>
      </c>
      <c r="C117" s="42">
        <f>C97*C90/100000</f>
        <v>0</v>
      </c>
      <c r="D117" s="42">
        <f t="shared" ref="D117:L117" si="171">D97*D90/100000</f>
        <v>0</v>
      </c>
      <c r="E117" s="42">
        <f t="shared" si="171"/>
        <v>0</v>
      </c>
      <c r="F117" s="42">
        <f t="shared" si="171"/>
        <v>0</v>
      </c>
      <c r="G117" s="42">
        <f t="shared" si="171"/>
        <v>0</v>
      </c>
      <c r="H117" s="42">
        <f t="shared" si="171"/>
        <v>0</v>
      </c>
      <c r="I117" s="42">
        <f t="shared" si="171"/>
        <v>0</v>
      </c>
      <c r="J117" s="42">
        <f t="shared" si="171"/>
        <v>0</v>
      </c>
      <c r="K117" s="42">
        <f t="shared" si="171"/>
        <v>0</v>
      </c>
      <c r="L117" s="42">
        <f t="shared" si="171"/>
        <v>0</v>
      </c>
    </row>
    <row r="118" spans="1:12" hidden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idden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8" t="s">
        <v>85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26" t="s">
        <v>70</v>
      </c>
      <c r="C122" s="41">
        <f>C42+C46+C50+C54+C100+C104+C108+C112+C58+C116</f>
        <v>0</v>
      </c>
      <c r="D122" s="41">
        <f t="shared" ref="D122:L122" si="172">D42+D46+D50+D54+D100+D104+D108+D112+D58+D116</f>
        <v>4.3499999999999996</v>
      </c>
      <c r="E122" s="41">
        <f t="shared" si="172"/>
        <v>4.5674999999999999</v>
      </c>
      <c r="F122" s="41">
        <f t="shared" si="172"/>
        <v>4.7957999999999998</v>
      </c>
      <c r="G122" s="41">
        <f t="shared" si="172"/>
        <v>6.0196999999999994</v>
      </c>
      <c r="H122" s="41">
        <f t="shared" si="172"/>
        <v>7.4754999999999994</v>
      </c>
      <c r="I122" s="41">
        <f t="shared" si="172"/>
        <v>7.8493999999999993</v>
      </c>
      <c r="J122" s="41">
        <f t="shared" si="172"/>
        <v>8.2419000000000011</v>
      </c>
      <c r="K122" s="41">
        <f t="shared" si="172"/>
        <v>8.6541999999999994</v>
      </c>
      <c r="L122" s="41">
        <f t="shared" si="172"/>
        <v>9.0869999999999997</v>
      </c>
    </row>
    <row r="123" spans="1:12" x14ac:dyDescent="0.25">
      <c r="A123" s="6"/>
      <c r="B123" s="26" t="s">
        <v>71</v>
      </c>
      <c r="C123" s="41">
        <f>C43+C47+C51+C55+C101+C105+C109+C113+C59+C117</f>
        <v>4.3499999999999996</v>
      </c>
      <c r="D123" s="41">
        <f t="shared" ref="D123:L123" si="173">D43+D47+D51+D55+D101+D105+D109+D113+D59+D117</f>
        <v>4.5674999999999999</v>
      </c>
      <c r="E123" s="41">
        <f t="shared" si="173"/>
        <v>4.7957999999999998</v>
      </c>
      <c r="F123" s="41">
        <f t="shared" si="173"/>
        <v>6.0196999999999994</v>
      </c>
      <c r="G123" s="41">
        <f t="shared" si="173"/>
        <v>7.4754999999999994</v>
      </c>
      <c r="H123" s="41">
        <f t="shared" si="173"/>
        <v>7.8493999999999993</v>
      </c>
      <c r="I123" s="41">
        <f t="shared" si="173"/>
        <v>8.2419000000000011</v>
      </c>
      <c r="J123" s="41">
        <f t="shared" si="173"/>
        <v>8.6541999999999994</v>
      </c>
      <c r="K123" s="41">
        <f t="shared" si="173"/>
        <v>9.0869999999999997</v>
      </c>
      <c r="L123" s="41">
        <f t="shared" si="173"/>
        <v>9.5414000000000012</v>
      </c>
    </row>
    <row r="125" spans="1:12" x14ac:dyDescent="0.25">
      <c r="C125" s="25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6</vt:i4>
      </vt:variant>
    </vt:vector>
  </HeadingPairs>
  <TitlesOfParts>
    <vt:vector size="45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Manpower Schedule</vt:lpstr>
      <vt:lpstr>weigh Bridge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IRR!Print_Area</vt:lpstr>
      <vt:lpstr>'Member Data'!Print_Area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dcterms:created xsi:type="dcterms:W3CDTF">2020-07-01T05:43:42Z</dcterms:created>
  <dcterms:modified xsi:type="dcterms:W3CDTF">2022-08-18T15:46:45Z</dcterms:modified>
</cp:coreProperties>
</file>